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2190" activeTab="0"/>
  </bookViews>
  <sheets>
    <sheet name="TDMA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<sst xmlns="http://schemas.openxmlformats.org/spreadsheetml/2006/main" count="133" uniqueCount="79">
  <si>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TOTAL</t>
  </si>
  <si>
    <t xml:space="preserve"> </t>
  </si>
  <si>
    <r>
      <t xml:space="preserve">                    SFD</t>
    </r>
    <r>
      <rPr>
        <b/>
        <vertAlign val="subscript"/>
        <sz val="9"/>
        <rFont val="宋体"/>
        <family val="0"/>
      </rPr>
      <t>北京</t>
    </r>
    <r>
      <rPr>
        <b/>
        <sz val="9"/>
        <rFont val="Arial"/>
        <family val="2"/>
      </rPr>
      <t xml:space="preserve"> = -90 dBw/m</t>
    </r>
    <r>
      <rPr>
        <b/>
        <vertAlign val="superscript"/>
        <sz val="9"/>
        <rFont val="Arial"/>
        <family val="2"/>
      </rPr>
      <t xml:space="preserve">2                    </t>
    </r>
  </si>
  <si>
    <r>
      <t xml:space="preserve">                    SFD</t>
    </r>
    <r>
      <rPr>
        <b/>
        <vertAlign val="subscript"/>
        <sz val="9"/>
        <rFont val="宋体"/>
        <family val="0"/>
      </rPr>
      <t>北京</t>
    </r>
    <r>
      <rPr>
        <b/>
        <sz val="9"/>
        <rFont val="Arial"/>
        <family val="2"/>
      </rPr>
      <t xml:space="preserve"> = -84 dBw/m</t>
    </r>
    <r>
      <rPr>
        <b/>
        <vertAlign val="superscript"/>
        <sz val="9"/>
        <rFont val="Arial"/>
        <family val="2"/>
      </rPr>
      <t xml:space="preserve">2                    </t>
    </r>
  </si>
  <si>
    <t>转发器参数</t>
  </si>
  <si>
    <r>
      <t>卫星轨位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(deg E)</t>
    </r>
  </si>
  <si>
    <r>
      <t>转发器</t>
    </r>
    <r>
      <rPr>
        <b/>
        <sz val="9"/>
        <rFont val="Arial"/>
        <family val="2"/>
      </rPr>
      <t>SFD (dBw/m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</si>
  <si>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接收系统</t>
    </r>
    <r>
      <rPr>
        <b/>
        <sz val="9"/>
        <rFont val="Arial"/>
        <family val="2"/>
      </rPr>
      <t>G/T (dB/k)</t>
    </r>
  </si>
  <si>
    <r>
      <t>下行饱和</t>
    </r>
    <r>
      <rPr>
        <b/>
        <sz val="9"/>
        <rFont val="Arial"/>
        <family val="2"/>
      </rPr>
      <t>EIRP</t>
    </r>
    <r>
      <rPr>
        <b/>
        <sz val="9"/>
        <rFont val="Arial"/>
        <family val="2"/>
      </rPr>
      <t xml:space="preserve"> (dBw)</t>
    </r>
  </si>
  <si>
    <t>载波参数</t>
  </si>
  <si>
    <t>调制方式</t>
  </si>
  <si>
    <t>BPSK</t>
  </si>
  <si>
    <t>CPFSK</t>
  </si>
  <si>
    <r>
      <t>信息速率</t>
    </r>
    <r>
      <rPr>
        <b/>
        <sz val="9"/>
        <rFont val="Arial"/>
        <family val="2"/>
      </rPr>
      <t xml:space="preserve"> (kbps)</t>
    </r>
  </si>
  <si>
    <r>
      <t>FEC</t>
    </r>
    <r>
      <rPr>
        <b/>
        <sz val="9"/>
        <rFont val="宋体"/>
        <family val="0"/>
      </rPr>
      <t>编码率</t>
    </r>
  </si>
  <si>
    <r>
      <t>R-S</t>
    </r>
    <r>
      <rPr>
        <sz val="9"/>
        <rFont val="宋体"/>
        <family val="0"/>
      </rPr>
      <t>编码率</t>
    </r>
  </si>
  <si>
    <r>
      <t>传输速率</t>
    </r>
    <r>
      <rPr>
        <sz val="9"/>
        <rFont val="Arial"/>
        <family val="2"/>
      </rPr>
      <t xml:space="preserve"> (kbps)</t>
    </r>
  </si>
  <si>
    <r>
      <t>噪声带宽</t>
    </r>
    <r>
      <rPr>
        <b/>
        <sz val="9"/>
        <rFont val="Arial"/>
        <family val="2"/>
      </rPr>
      <t xml:space="preserve"> (kHz)</t>
    </r>
  </si>
  <si>
    <r>
      <t>占用带宽</t>
    </r>
    <r>
      <rPr>
        <sz val="9"/>
        <rFont val="Arial"/>
        <family val="2"/>
      </rPr>
      <t xml:space="preserve"> (kHz)</t>
    </r>
  </si>
  <si>
    <r>
      <t>分配带宽</t>
    </r>
    <r>
      <rPr>
        <b/>
        <sz val="9"/>
        <rFont val="Arial"/>
        <family val="2"/>
      </rPr>
      <t xml:space="preserve"> (kHz)</t>
    </r>
  </si>
  <si>
    <r>
      <t>系统要求的</t>
    </r>
    <r>
      <rPr>
        <b/>
        <sz val="9"/>
        <rFont val="Arial"/>
        <family val="2"/>
      </rPr>
      <t>E</t>
    </r>
    <r>
      <rPr>
        <b/>
        <vertAlign val="subscript"/>
        <sz val="9"/>
        <rFont val="Arial"/>
        <family val="2"/>
      </rPr>
      <t>b</t>
    </r>
    <r>
      <rPr>
        <b/>
        <sz val="9"/>
        <rFont val="Arial"/>
        <family val="2"/>
      </rPr>
      <t>/N</t>
    </r>
    <r>
      <rPr>
        <b/>
        <vertAlign val="subscript"/>
        <sz val="9"/>
        <rFont val="Arial"/>
        <family val="2"/>
      </rPr>
      <t>0</t>
    </r>
    <r>
      <rPr>
        <b/>
        <sz val="9"/>
        <rFont val="Arial"/>
        <family val="2"/>
      </rPr>
      <t xml:space="preserve"> (dB)</t>
    </r>
  </si>
  <si>
    <r>
      <t>系统要求的</t>
    </r>
    <r>
      <rPr>
        <b/>
        <sz val="9"/>
        <rFont val="Arial"/>
        <family val="2"/>
      </rPr>
      <t>C/N (dB)</t>
    </r>
  </si>
  <si>
    <t>载波设置</t>
  </si>
  <si>
    <r>
      <t>转发器衰减档</t>
    </r>
    <r>
      <rPr>
        <sz val="9"/>
        <rFont val="Arial"/>
        <family val="2"/>
      </rPr>
      <t xml:space="preserve"> (dB)</t>
    </r>
  </si>
  <si>
    <r>
      <t>输出回退</t>
    </r>
    <r>
      <rPr>
        <b/>
        <sz val="9"/>
        <rFont val="Arial"/>
        <family val="2"/>
      </rPr>
      <t xml:space="preserve"> (dB)</t>
    </r>
  </si>
  <si>
    <r>
      <t>平均输出回退</t>
    </r>
    <r>
      <rPr>
        <sz val="9"/>
        <rFont val="Arial"/>
        <family val="2"/>
      </rPr>
      <t xml:space="preserve"> (dB)</t>
    </r>
  </si>
  <si>
    <r>
      <t>输入回退</t>
    </r>
    <r>
      <rPr>
        <b/>
        <sz val="9"/>
        <rFont val="Arial"/>
        <family val="2"/>
      </rPr>
      <t xml:space="preserve"> (dB)</t>
    </r>
  </si>
  <si>
    <r>
      <t>上行频率</t>
    </r>
    <r>
      <rPr>
        <sz val="9"/>
        <rFont val="Arial"/>
        <family val="2"/>
      </rPr>
      <t xml:space="preserve"> (MHz)</t>
    </r>
  </si>
  <si>
    <r>
      <t>下行频率</t>
    </r>
    <r>
      <rPr>
        <sz val="9"/>
        <rFont val="Arial"/>
        <family val="2"/>
      </rPr>
      <t xml:space="preserve"> (MHz)</t>
    </r>
  </si>
  <si>
    <t>载波占用的转发器资源</t>
  </si>
  <si>
    <t>载波数</t>
  </si>
  <si>
    <r>
      <t>输出回退</t>
    </r>
    <r>
      <rPr>
        <sz val="9"/>
        <rFont val="Arial"/>
        <family val="2"/>
      </rPr>
      <t xml:space="preserve"> (dB)</t>
    </r>
  </si>
  <si>
    <r>
      <t>分配带宽</t>
    </r>
    <r>
      <rPr>
        <sz val="9"/>
        <rFont val="Arial"/>
        <family val="2"/>
      </rPr>
      <t xml:space="preserve"> (kHz)</t>
    </r>
  </si>
  <si>
    <r>
      <t>占用的</t>
    </r>
    <r>
      <rPr>
        <b/>
        <sz val="9"/>
        <rFont val="Arial"/>
        <family val="2"/>
      </rPr>
      <t>EIRP</t>
    </r>
    <r>
      <rPr>
        <b/>
        <sz val="9"/>
        <rFont val="宋体"/>
        <family val="0"/>
      </rPr>
      <t xml:space="preserve">资源 </t>
    </r>
    <r>
      <rPr>
        <b/>
        <sz val="9"/>
        <rFont val="Arial"/>
        <family val="2"/>
      </rPr>
      <t>(%)</t>
    </r>
  </si>
  <si>
    <r>
      <t>占用的带宽资源</t>
    </r>
    <r>
      <rPr>
        <b/>
        <sz val="9"/>
        <rFont val="Arial"/>
        <family val="2"/>
      </rPr>
      <t xml:space="preserve"> (%)</t>
    </r>
  </si>
  <si>
    <t>上行站参数</t>
  </si>
  <si>
    <r>
      <t>天线口径</t>
    </r>
    <r>
      <rPr>
        <b/>
        <sz val="9"/>
        <rFont val="Arial"/>
        <family val="2"/>
      </rPr>
      <t xml:space="preserve"> (m)</t>
    </r>
  </si>
  <si>
    <t>地球站所在地</t>
  </si>
  <si>
    <t>北京</t>
  </si>
  <si>
    <t xml:space="preserve">广州 </t>
  </si>
  <si>
    <t>乌鲁木齐</t>
  </si>
  <si>
    <t>武汉</t>
  </si>
  <si>
    <r>
      <t>经度</t>
    </r>
    <r>
      <rPr>
        <b/>
        <sz val="9"/>
        <rFont val="Arial"/>
        <family val="2"/>
      </rPr>
      <t xml:space="preserve"> (deg E)</t>
    </r>
  </si>
  <si>
    <r>
      <t>纬度</t>
    </r>
    <r>
      <rPr>
        <b/>
        <sz val="9"/>
        <rFont val="Arial"/>
        <family val="2"/>
      </rPr>
      <t xml:space="preserve"> (deg N)</t>
    </r>
  </si>
  <si>
    <r>
      <t>到卫星距离</t>
    </r>
    <r>
      <rPr>
        <b/>
        <sz val="9"/>
        <rFont val="Arial"/>
        <family val="2"/>
      </rPr>
      <t xml:space="preserve"> (km)</t>
    </r>
  </si>
  <si>
    <r>
      <t>天线仰角</t>
    </r>
    <r>
      <rPr>
        <b/>
        <sz val="9"/>
        <rFont val="Arial"/>
        <family val="2"/>
      </rPr>
      <t xml:space="preserve"> (deg)</t>
    </r>
  </si>
  <si>
    <r>
      <t>天线方位角</t>
    </r>
    <r>
      <rPr>
        <b/>
        <sz val="9"/>
        <rFont val="Arial"/>
        <family val="2"/>
      </rPr>
      <t xml:space="preserve"> (deg)</t>
    </r>
  </si>
  <si>
    <r>
      <t>HPA</t>
    </r>
    <r>
      <rPr>
        <b/>
        <sz val="9"/>
        <rFont val="宋体"/>
        <family val="0"/>
      </rPr>
      <t>最大输出功率</t>
    </r>
    <r>
      <rPr>
        <b/>
        <sz val="9"/>
        <rFont val="Arial"/>
        <family val="2"/>
      </rPr>
      <t xml:space="preserve"> (dBw)</t>
    </r>
  </si>
  <si>
    <r>
      <t>晴空时的馈源功率</t>
    </r>
    <r>
      <rPr>
        <b/>
        <sz val="9"/>
        <rFont val="Arial"/>
        <family val="2"/>
      </rPr>
      <t xml:space="preserve"> (dBw)</t>
    </r>
  </si>
  <si>
    <r>
      <t>雨衰时的</t>
    </r>
    <r>
      <rPr>
        <b/>
        <sz val="9"/>
        <rFont val="Arial"/>
        <family val="2"/>
      </rPr>
      <t>HPA</t>
    </r>
    <r>
      <rPr>
        <b/>
        <sz val="9"/>
        <rFont val="宋体"/>
        <family val="0"/>
      </rPr>
      <t>输出功率</t>
    </r>
    <r>
      <rPr>
        <b/>
        <sz val="9"/>
        <rFont val="Arial"/>
        <family val="2"/>
      </rPr>
      <t xml:space="preserve"> (dBw)</t>
    </r>
  </si>
  <si>
    <r>
      <t>天线效率</t>
    </r>
    <r>
      <rPr>
        <b/>
        <sz val="9"/>
        <rFont val="Arial"/>
        <family val="2"/>
      </rPr>
      <t xml:space="preserve"> (%)</t>
    </r>
  </si>
  <si>
    <r>
      <t>天线增益</t>
    </r>
    <r>
      <rPr>
        <b/>
        <sz val="9"/>
        <rFont val="Arial"/>
        <family val="2"/>
      </rPr>
      <t xml:space="preserve"> (dBi)</t>
    </r>
  </si>
  <si>
    <t>下行站参数</t>
  </si>
  <si>
    <r>
      <t>系统噪声温度</t>
    </r>
    <r>
      <rPr>
        <b/>
        <sz val="9"/>
        <rFont val="Arial"/>
        <family val="2"/>
      </rPr>
      <t xml:space="preserve"> (dBk)</t>
    </r>
  </si>
  <si>
    <r>
      <t>上行</t>
    </r>
    <r>
      <rPr>
        <b/>
        <u val="single"/>
        <sz val="10"/>
        <rFont val="Arial"/>
        <family val="2"/>
      </rPr>
      <t>C/T</t>
    </r>
  </si>
  <si>
    <r>
      <t>晴空时的上行</t>
    </r>
    <r>
      <rPr>
        <b/>
        <sz val="9"/>
        <rFont val="Arial"/>
        <family val="2"/>
      </rPr>
      <t>EIRP (dBw)</t>
    </r>
  </si>
  <si>
    <r>
      <t>自由空间损耗</t>
    </r>
    <r>
      <rPr>
        <b/>
        <sz val="9"/>
        <rFont val="Arial"/>
        <family val="2"/>
      </rPr>
      <t xml:space="preserve"> (dB)</t>
    </r>
  </si>
  <si>
    <r>
      <t>天线跟踪误差</t>
    </r>
    <r>
      <rPr>
        <b/>
        <sz val="9"/>
        <rFont val="Arial"/>
        <family val="2"/>
      </rPr>
      <t xml:space="preserve"> (dB)</t>
    </r>
  </si>
  <si>
    <r>
      <t>1 m</t>
    </r>
    <r>
      <rPr>
        <b/>
        <vertAlign val="superscript"/>
        <sz val="9"/>
        <rFont val="Arial"/>
        <family val="2"/>
      </rPr>
      <t>2</t>
    </r>
    <r>
      <rPr>
        <b/>
        <sz val="9"/>
        <rFont val="宋体"/>
        <family val="0"/>
      </rPr>
      <t>标准天线增益</t>
    </r>
    <r>
      <rPr>
        <b/>
        <sz val="9"/>
        <rFont val="Arial"/>
        <family val="2"/>
      </rPr>
      <t xml:space="preserve"> (dBi/m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</si>
  <si>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到达卫星的载波</t>
    </r>
    <r>
      <rPr>
        <b/>
        <sz val="9"/>
        <rFont val="Arial"/>
        <family val="2"/>
      </rPr>
      <t>PFD (dBw/m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</si>
  <si>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晴空时的上行</t>
    </r>
    <r>
      <rPr>
        <b/>
        <sz val="9"/>
        <rFont val="Arial"/>
        <family val="2"/>
      </rPr>
      <t>C/T (dBw/k)</t>
    </r>
  </si>
  <si>
    <r>
      <t>下行</t>
    </r>
    <r>
      <rPr>
        <b/>
        <u val="single"/>
        <sz val="10"/>
        <rFont val="Arial"/>
        <family val="2"/>
      </rPr>
      <t>C/T</t>
    </r>
  </si>
  <si>
    <r>
      <t>载波下行</t>
    </r>
    <r>
      <rPr>
        <b/>
        <sz val="9"/>
        <rFont val="Arial"/>
        <family val="2"/>
      </rPr>
      <t>EIRP (dBw)</t>
    </r>
  </si>
  <si>
    <r>
      <t>晴空时的下行</t>
    </r>
    <r>
      <rPr>
        <b/>
        <sz val="9"/>
        <rFont val="Arial"/>
        <family val="2"/>
      </rPr>
      <t>C/T (dBw/k)</t>
    </r>
  </si>
  <si>
    <t>系统余量</t>
  </si>
  <si>
    <r>
      <t>反极化干扰的等效</t>
    </r>
    <r>
      <rPr>
        <b/>
        <sz val="9"/>
        <rFont val="Arial"/>
        <family val="2"/>
      </rPr>
      <t>C/T (dBw/k)</t>
    </r>
  </si>
  <si>
    <r>
      <t>交调干扰的等效</t>
    </r>
    <r>
      <rPr>
        <b/>
        <sz val="9"/>
        <rFont val="Arial"/>
        <family val="2"/>
      </rPr>
      <t>C/T (dBw/k)</t>
    </r>
  </si>
  <si>
    <r>
      <t>邻星干扰的等效</t>
    </r>
    <r>
      <rPr>
        <b/>
        <sz val="9"/>
        <rFont val="Arial"/>
        <family val="2"/>
      </rPr>
      <t>C/T (dBw/k)</t>
    </r>
  </si>
  <si>
    <r>
      <t>晴空时的系统总</t>
    </r>
    <r>
      <rPr>
        <b/>
        <sz val="9"/>
        <rFont val="Arial"/>
        <family val="2"/>
      </rPr>
      <t>C/T (dBw/k)</t>
    </r>
  </si>
  <si>
    <r>
      <t>波兹曼常数</t>
    </r>
    <r>
      <rPr>
        <b/>
        <sz val="9"/>
        <rFont val="Arial"/>
        <family val="2"/>
      </rPr>
      <t xml:space="preserve"> (dBw/k-Hz)</t>
    </r>
  </si>
  <si>
    <r>
      <t>噪声带宽</t>
    </r>
    <r>
      <rPr>
        <b/>
        <sz val="9"/>
        <rFont val="Arial"/>
        <family val="2"/>
      </rPr>
      <t xml:space="preserve"> (dB-Hz)</t>
    </r>
  </si>
  <si>
    <r>
      <t>晴空时的系统总</t>
    </r>
    <r>
      <rPr>
        <b/>
        <sz val="9"/>
        <rFont val="Arial"/>
        <family val="2"/>
      </rPr>
      <t>C/N (dB)</t>
    </r>
  </si>
  <si>
    <r>
      <t>晴空时的系统余量</t>
    </r>
    <r>
      <rPr>
        <b/>
        <sz val="9"/>
        <rFont val="Arial"/>
        <family val="2"/>
      </rPr>
      <t xml:space="preserve"> (dB)</t>
    </r>
  </si>
  <si>
    <r>
      <t>上行雨衰</t>
    </r>
    <r>
      <rPr>
        <b/>
        <u val="single"/>
        <sz val="10"/>
        <rFont val="Times New Roman"/>
        <family val="1"/>
      </rPr>
      <t>8dB</t>
    </r>
    <r>
      <rPr>
        <b/>
        <u val="single"/>
        <sz val="10"/>
        <rFont val="宋体"/>
        <family val="0"/>
      </rPr>
      <t>时的系统余量</t>
    </r>
  </si>
  <si>
    <r>
      <t>雨衰时的系统总</t>
    </r>
    <r>
      <rPr>
        <b/>
        <sz val="9"/>
        <rFont val="Arial"/>
        <family val="2"/>
      </rPr>
      <t>C/T (dBw/k)</t>
    </r>
  </si>
  <si>
    <r>
      <t>雨衰时的系统总</t>
    </r>
    <r>
      <rPr>
        <b/>
        <sz val="9"/>
        <rFont val="Arial"/>
        <family val="2"/>
      </rPr>
      <t>C/N (dB)</t>
    </r>
  </si>
  <si>
    <r>
      <t>雨衰时的系统余量</t>
    </r>
    <r>
      <rPr>
        <b/>
        <sz val="9"/>
        <rFont val="Arial"/>
        <family val="2"/>
      </rPr>
      <t xml:space="preserve"> (dB)</t>
    </r>
  </si>
  <si>
    <r>
      <t>下行雨衰</t>
    </r>
    <r>
      <rPr>
        <b/>
        <u val="single"/>
        <sz val="10"/>
        <rFont val="Times New Roman"/>
        <family val="1"/>
      </rPr>
      <t>6dB</t>
    </r>
    <r>
      <rPr>
        <b/>
        <u val="single"/>
        <sz val="10"/>
        <rFont val="宋体"/>
        <family val="0"/>
      </rPr>
      <t>时的系统余量</t>
    </r>
  </si>
  <si>
    <r>
      <t>上下行雨衰(</t>
    </r>
    <r>
      <rPr>
        <b/>
        <u val="single"/>
        <sz val="10"/>
        <rFont val="Times New Roman"/>
        <family val="1"/>
      </rPr>
      <t>8/6dB)</t>
    </r>
    <r>
      <rPr>
        <b/>
        <u val="single"/>
        <sz val="10"/>
        <rFont val="宋体"/>
        <family val="0"/>
      </rPr>
      <t>时的系统余量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</si>
</sst>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"/>
    <numFmt numFmtId="182" formatCode="0.000"/>
    <numFmt numFmtId="183" formatCode="0.0_);[Red]\(0.0\)"/>
  </numFmts>
  <fonts count="21">
    <font>
      <sz val="12"/>
      <name val="宋体"/>
      <family val="0"/>
    </font>
    <font>
      <sz val="10"/>
      <name val="Courier New"/>
      <family val="3"/>
    </font>
    <font>
      <sz val="10"/>
      <name val="MS Sans Serif"/>
      <family val="2"/>
    </font>
    <font>
      <b/>
      <sz val="9"/>
      <name val="Arial"/>
      <family val="2"/>
    </font>
    <font>
      <b/>
      <vertAlign val="subscript"/>
      <sz val="9"/>
      <name val="宋体"/>
      <family val="0"/>
    </font>
    <font>
      <b/>
      <vertAlign val="superscript"/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u val="single"/>
      <sz val="10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9"/>
      <name val="Courier New"/>
      <family val="3"/>
    </font>
    <font>
      <b/>
      <sz val="9"/>
      <name val="宋体"/>
      <family val="0"/>
    </font>
    <font>
      <b/>
      <sz val="9"/>
      <name val="Courier New"/>
      <family val="3"/>
    </font>
    <font>
      <b/>
      <vertAlign val="subscript"/>
      <sz val="9"/>
      <name val="Arial"/>
      <family val="2"/>
    </font>
    <font>
      <b/>
      <i/>
      <sz val="9"/>
      <name val="Courier New"/>
      <family val="3"/>
    </font>
    <font>
      <b/>
      <u val="single"/>
      <sz val="10"/>
      <name val="Arial"/>
      <family val="2"/>
    </font>
    <font>
      <b/>
      <u val="single"/>
      <sz val="9"/>
      <name val="Courier New"/>
      <family val="3"/>
    </font>
    <font>
      <b/>
      <u val="single"/>
      <sz val="10"/>
      <name val="Times New Roman"/>
      <family val="1"/>
    </font>
    <font>
      <i/>
      <sz val="9"/>
      <name val="Courier New"/>
      <family val="3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3" fillId="0" borderId="0" xfId="20" applyNumberFormat="1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7" fillId="0" borderId="0" xfId="20">
      <alignment/>
      <protection/>
    </xf>
    <xf numFmtId="0" fontId="3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left" vertical="center"/>
      <protection/>
    </xf>
    <xf numFmtId="181" fontId="13" fillId="0" borderId="0" xfId="20" applyNumberFormat="1" applyFont="1" applyBorder="1" applyAlignment="1">
      <alignment horizontal="center"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Border="1" applyAlignment="1" quotePrefix="1">
      <alignment horizontal="left"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vertical="center"/>
      <protection/>
    </xf>
    <xf numFmtId="1" fontId="13" fillId="0" borderId="0" xfId="20" applyNumberFormat="1" applyFont="1" applyBorder="1" applyAlignment="1">
      <alignment horizontal="left" vertical="center"/>
      <protection/>
    </xf>
    <xf numFmtId="0" fontId="3" fillId="0" borderId="0" xfId="20" applyFont="1" applyBorder="1" applyAlignment="1">
      <alignment vertical="center"/>
      <protection/>
    </xf>
    <xf numFmtId="181" fontId="13" fillId="0" borderId="0" xfId="20" applyNumberFormat="1" applyFont="1" applyBorder="1" applyAlignment="1">
      <alignment horizontal="left" vertical="center"/>
      <protection/>
    </xf>
    <xf numFmtId="0" fontId="10" fillId="0" borderId="0" xfId="20" applyFont="1" applyBorder="1" applyAlignment="1">
      <alignment vertical="center"/>
      <protection/>
    </xf>
    <xf numFmtId="1" fontId="11" fillId="0" borderId="0" xfId="20" applyNumberFormat="1" applyFont="1" applyBorder="1" applyAlignment="1">
      <alignment horizontal="left" vertical="center"/>
      <protection/>
    </xf>
    <xf numFmtId="1" fontId="13" fillId="0" borderId="0" xfId="20" applyNumberFormat="1" applyFont="1" applyBorder="1" applyAlignment="1">
      <alignment horizontal="center" vertical="center"/>
      <protection/>
    </xf>
    <xf numFmtId="1" fontId="11" fillId="0" borderId="0" xfId="20" applyNumberFormat="1" applyFont="1" applyBorder="1">
      <alignment/>
      <protection/>
    </xf>
    <xf numFmtId="1" fontId="13" fillId="0" borderId="0" xfId="20" applyNumberFormat="1" applyFont="1" applyBorder="1">
      <alignment/>
      <protection/>
    </xf>
    <xf numFmtId="1" fontId="11" fillId="0" borderId="0" xfId="20" applyNumberFormat="1" applyFont="1" applyAlignment="1">
      <alignment horizontal="right" vertical="center"/>
      <protection/>
    </xf>
    <xf numFmtId="1" fontId="13" fillId="0" borderId="0" xfId="20" applyNumberFormat="1" applyFont="1" applyAlignment="1">
      <alignment horizontal="center" vertical="center"/>
      <protection/>
    </xf>
    <xf numFmtId="181" fontId="13" fillId="0" borderId="0" xfId="20" applyNumberFormat="1" applyFont="1" applyBorder="1" applyAlignment="1">
      <alignment horizontal="right" vertical="center"/>
      <protection/>
    </xf>
    <xf numFmtId="0" fontId="7" fillId="0" borderId="0" xfId="20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" fontId="11" fillId="0" borderId="0" xfId="20" applyNumberFormat="1" applyFont="1" applyBorder="1" applyAlignment="1">
      <alignment horizontal="center" vertical="center"/>
      <protection/>
    </xf>
    <xf numFmtId="181" fontId="13" fillId="0" borderId="0" xfId="20" applyNumberFormat="1" applyFont="1" applyBorder="1" applyAlignment="1">
      <alignment horizontal="center"/>
      <protection/>
    </xf>
    <xf numFmtId="181" fontId="11" fillId="0" borderId="0" xfId="20" applyNumberFormat="1" applyFont="1" applyBorder="1" applyAlignment="1">
      <alignment horizontal="center"/>
      <protection/>
    </xf>
    <xf numFmtId="181" fontId="11" fillId="0" borderId="0" xfId="20" applyNumberFormat="1" applyFont="1" applyBorder="1" applyAlignment="1">
      <alignment horizontal="center" vertical="center"/>
      <protection/>
    </xf>
    <xf numFmtId="181" fontId="10" fillId="0" borderId="0" xfId="20" applyNumberFormat="1" applyFont="1" applyBorder="1" applyAlignment="1">
      <alignment horizontal="center" vertical="center"/>
      <protection/>
    </xf>
    <xf numFmtId="1" fontId="10" fillId="0" borderId="0" xfId="20" applyNumberFormat="1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6" fillId="0" borderId="0" xfId="20" applyFont="1" applyBorder="1" applyAlignment="1">
      <alignment horizontal="left"/>
      <protection/>
    </xf>
    <xf numFmtId="0" fontId="11" fillId="0" borderId="0" xfId="20" applyFont="1" applyBorder="1" applyAlignment="1">
      <alignment horizontal="left" vertical="center"/>
      <protection/>
    </xf>
    <xf numFmtId="181" fontId="11" fillId="0" borderId="0" xfId="18" applyNumberFormat="1" applyFont="1" applyBorder="1" applyAlignment="1">
      <alignment vertical="center"/>
      <protection/>
    </xf>
    <xf numFmtId="1" fontId="11" fillId="0" borderId="0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horizontal="left"/>
      <protection/>
    </xf>
    <xf numFmtId="2" fontId="13" fillId="0" borderId="0" xfId="18" applyNumberFormat="1" applyFont="1" applyBorder="1" applyAlignment="1" quotePrefix="1">
      <alignment horizontal="right" vertical="center"/>
      <protection/>
    </xf>
    <xf numFmtId="2" fontId="13" fillId="0" borderId="0" xfId="20" applyNumberFormat="1" applyFont="1" applyBorder="1" applyAlignment="1">
      <alignment vertical="center"/>
      <protection/>
    </xf>
    <xf numFmtId="0" fontId="7" fillId="0" borderId="0" xfId="20" applyBorder="1" applyAlignment="1">
      <alignment horizontal="left" vertical="center"/>
      <protection/>
    </xf>
    <xf numFmtId="1" fontId="13" fillId="0" borderId="0" xfId="20" applyFont="1" applyBorder="1" applyAlignment="1">
      <alignment vertical="center"/>
      <protection/>
    </xf>
    <xf numFmtId="181" fontId="13" fillId="0" borderId="0" xfId="20" applyFont="1" applyBorder="1" applyAlignment="1">
      <alignment horizontal="right" vertical="center"/>
      <protection/>
    </xf>
    <xf numFmtId="181" fontId="13" fillId="0" borderId="0" xfId="20" applyNumberFormat="1" applyFont="1" applyBorder="1" applyAlignment="1">
      <alignment vertical="center"/>
      <protection/>
    </xf>
    <xf numFmtId="181" fontId="11" fillId="0" borderId="0" xfId="20" applyNumberFormat="1" applyFont="1" applyBorder="1" applyAlignment="1">
      <alignment horizontal="right" vertical="center"/>
      <protection/>
    </xf>
    <xf numFmtId="181" fontId="15" fillId="0" borderId="0" xfId="20" applyNumberFormat="1" applyFont="1" applyBorder="1" applyAlignment="1">
      <alignment horizontal="center" vertical="center"/>
      <protection/>
    </xf>
    <xf numFmtId="181" fontId="13" fillId="0" borderId="0" xfId="20" applyFont="1" applyBorder="1" applyAlignment="1">
      <alignment vertical="center"/>
      <protection/>
    </xf>
    <xf numFmtId="181" fontId="17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181" fontId="13" fillId="0" borderId="0" xfId="18" applyNumberFormat="1" applyFont="1" applyBorder="1" applyAlignment="1">
      <alignment horizontal="right" vertical="center"/>
      <protection/>
    </xf>
    <xf numFmtId="0" fontId="2" fillId="0" borderId="0" xfId="20">
      <alignment/>
      <protection/>
    </xf>
    <xf numFmtId="181" fontId="11" fillId="0" borderId="0" xfId="20" applyNumberFormat="1" applyFont="1" applyBorder="1" applyAlignment="1">
      <alignment vertical="center"/>
      <protection/>
    </xf>
    <xf numFmtId="181" fontId="19" fillId="0" borderId="0" xfId="20" applyNumberFormat="1" applyFont="1" applyBorder="1" applyAlignment="1">
      <alignment horizontal="center" vertical="center"/>
      <protection/>
    </xf>
    <xf numFmtId="0" fontId="20" fillId="0" borderId="0" xfId="20">
      <alignment/>
      <protection/>
    </xf>
  </cellXfs>
  <cellStyles count="25">
    <cellStyle name="Normal" xfId="0"/>
    <cellStyle name="Currency [0]_C over T (Co-channel) " xfId="15"/>
    <cellStyle name="Currency_C over T (Co-channel) " xfId="16"/>
    <cellStyle name="Normal_C over T (Co-channel) " xfId="17"/>
    <cellStyle name="Normal_SCPC Demostration for Ku-band" xfId="18"/>
    <cellStyle name="Percent" xfId="19"/>
    <cellStyle name="常规_ASbudget" xfId="20"/>
    <cellStyle name="常规_Book1" xfId="21"/>
    <cellStyle name="常规_sepa" xfId="22"/>
    <cellStyle name="Currency" xfId="23"/>
    <cellStyle name="Currency [0]" xfId="24"/>
    <cellStyle name="货币[0]_ASbudget" xfId="25"/>
    <cellStyle name="货币[0]_Book1" xfId="26"/>
    <cellStyle name="货币[0]_sepa" xfId="27"/>
    <cellStyle name="货币_ASbudget" xfId="28"/>
    <cellStyle name="货币_Book1" xfId="29"/>
    <cellStyle name="货币_sepa" xfId="30"/>
    <cellStyle name="Comma" xfId="31"/>
    <cellStyle name="Comma [0]" xfId="32"/>
    <cellStyle name="千位分隔[0]_ASbudget" xfId="33"/>
    <cellStyle name="千位分隔[0]_Book1" xfId="34"/>
    <cellStyle name="千位分隔[0]_sepa" xfId="35"/>
    <cellStyle name="千位分隔_ASbudget" xfId="36"/>
    <cellStyle name="千位分隔_Book1" xfId="37"/>
    <cellStyle name="千位分隔_sepa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8.125" style="3" customWidth="1"/>
    <col min="2" max="9" width="6.75390625" style="3" customWidth="1"/>
    <col min="10" max="10" width="5.875" style="3" customWidth="1"/>
    <col min="11" max="16384" width="8.75390625" style="3" customWidth="1"/>
  </cols>
  <sheetData>
    <row r="1" spans="1:10" ht="13.5">
      <c r="A1" s="1">
        <f ca="1">TODAY()</f>
        <v>36882</v>
      </c>
      <c r="B1" s="2" t="s">
        <v>2</v>
      </c>
      <c r="D1" s="2"/>
      <c r="E1" s="4"/>
      <c r="F1" s="2" t="s">
        <v>3</v>
      </c>
      <c r="H1" s="2"/>
      <c r="I1" s="4"/>
      <c r="J1" s="4" t="s">
        <v>0</v>
      </c>
    </row>
    <row r="2" spans="1:10" ht="12.75">
      <c r="A2" s="1"/>
      <c r="B2" s="2"/>
      <c r="D2" s="2"/>
      <c r="E2" s="4"/>
      <c r="F2" s="2"/>
      <c r="H2" s="2"/>
      <c r="I2" s="4"/>
      <c r="J2" s="4"/>
    </row>
    <row r="3" ht="12.75">
      <c r="A3" s="5" t="s">
        <v>4</v>
      </c>
    </row>
    <row r="4" spans="1:10" ht="12.75" hidden="1">
      <c r="A4" s="6" t="s">
        <v>5</v>
      </c>
      <c r="B4" s="7">
        <v>105.5</v>
      </c>
      <c r="C4" s="7">
        <v>105.5</v>
      </c>
      <c r="D4" s="7">
        <v>105.5</v>
      </c>
      <c r="E4" s="7">
        <v>105.5</v>
      </c>
      <c r="F4" s="7">
        <v>105.5</v>
      </c>
      <c r="G4" s="7">
        <v>105.5</v>
      </c>
      <c r="H4" s="7">
        <v>105.5</v>
      </c>
      <c r="I4" s="7">
        <v>105.5</v>
      </c>
      <c r="J4" s="7">
        <v>105.5</v>
      </c>
    </row>
    <row r="5" spans="1:9" ht="13.5">
      <c r="A5" s="8" t="s">
        <v>6</v>
      </c>
      <c r="B5" s="9">
        <f>+(-89.8)-0-B20</f>
        <v>-89.8</v>
      </c>
      <c r="C5" s="9">
        <f>+(-91.6)+0-C20</f>
        <v>-91.6</v>
      </c>
      <c r="D5" s="9">
        <f>+(-83.3)+0-D20</f>
        <v>-83.3</v>
      </c>
      <c r="E5" s="9">
        <f>+(-92.9)+0-E20</f>
        <v>-92.9</v>
      </c>
      <c r="F5" s="9">
        <f>B5+6</f>
        <v>-83.8</v>
      </c>
      <c r="G5" s="9">
        <f>C5+6</f>
        <v>-85.6</v>
      </c>
      <c r="H5" s="9">
        <f>D5+6</f>
        <v>-77.3</v>
      </c>
      <c r="I5" s="9">
        <f>E5+6</f>
        <v>-86.9</v>
      </c>
    </row>
    <row r="6" spans="1:9" ht="12.75">
      <c r="A6" s="10" t="s">
        <v>7</v>
      </c>
      <c r="B6" s="9">
        <v>4.8</v>
      </c>
      <c r="C6" s="9">
        <v>6.6</v>
      </c>
      <c r="D6" s="9">
        <v>-1.7</v>
      </c>
      <c r="E6" s="9">
        <v>7.9</v>
      </c>
      <c r="F6" s="9">
        <v>4.8</v>
      </c>
      <c r="G6" s="9">
        <v>6.6</v>
      </c>
      <c r="H6" s="9">
        <v>-1.7</v>
      </c>
      <c r="I6" s="9">
        <v>7.9</v>
      </c>
    </row>
    <row r="7" spans="1:10" ht="12.75">
      <c r="A7" s="8" t="s">
        <v>8</v>
      </c>
      <c r="B7" s="9">
        <v>46.2</v>
      </c>
      <c r="C7" s="9">
        <v>51.3</v>
      </c>
      <c r="D7" s="9">
        <v>51.3</v>
      </c>
      <c r="E7" s="9">
        <v>51.3</v>
      </c>
      <c r="F7" s="9">
        <v>46.2</v>
      </c>
      <c r="G7" s="9">
        <v>51.3</v>
      </c>
      <c r="H7" s="9">
        <v>51.3</v>
      </c>
      <c r="I7" s="9">
        <v>51.3</v>
      </c>
      <c r="J7" s="9"/>
    </row>
    <row r="8" ht="12.75">
      <c r="A8" s="5" t="s">
        <v>9</v>
      </c>
    </row>
    <row r="9" spans="1:10" ht="12.75">
      <c r="A9" s="10" t="s">
        <v>10</v>
      </c>
      <c r="B9" s="11" t="s">
        <v>11</v>
      </c>
      <c r="C9" s="12" t="s">
        <v>12</v>
      </c>
      <c r="D9" s="12" t="s">
        <v>12</v>
      </c>
      <c r="E9" s="12" t="s">
        <v>12</v>
      </c>
      <c r="F9" s="11" t="s">
        <v>11</v>
      </c>
      <c r="G9" s="12" t="s">
        <v>12</v>
      </c>
      <c r="H9" s="12" t="s">
        <v>12</v>
      </c>
      <c r="I9" s="12" t="s">
        <v>12</v>
      </c>
      <c r="J9" s="13"/>
    </row>
    <row r="10" spans="1:10" ht="12.75">
      <c r="A10" s="8" t="s">
        <v>13</v>
      </c>
      <c r="B10" s="14">
        <v>256</v>
      </c>
      <c r="C10" s="14">
        <v>128</v>
      </c>
      <c r="D10" s="14">
        <v>128</v>
      </c>
      <c r="E10" s="14">
        <v>128</v>
      </c>
      <c r="F10" s="14">
        <v>256</v>
      </c>
      <c r="G10" s="14">
        <v>128</v>
      </c>
      <c r="H10" s="14">
        <v>128</v>
      </c>
      <c r="I10" s="14">
        <v>128</v>
      </c>
      <c r="J10" s="13"/>
    </row>
    <row r="11" spans="1:10" ht="12.75">
      <c r="A11" s="15" t="s">
        <v>14</v>
      </c>
      <c r="B11" s="16">
        <v>0.5</v>
      </c>
      <c r="C11" s="16">
        <v>0.5</v>
      </c>
      <c r="D11" s="16">
        <v>0.5</v>
      </c>
      <c r="E11" s="16">
        <v>0.5</v>
      </c>
      <c r="F11" s="16">
        <v>0.5</v>
      </c>
      <c r="G11" s="16">
        <v>0.5</v>
      </c>
      <c r="H11" s="16">
        <v>0.5</v>
      </c>
      <c r="I11" s="16">
        <v>0.5</v>
      </c>
      <c r="J11" s="13"/>
    </row>
    <row r="12" spans="1:10" ht="12.75" hidden="1">
      <c r="A12" s="17" t="s">
        <v>15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9"/>
    </row>
    <row r="13" spans="1:10" ht="13.5" hidden="1">
      <c r="A13" s="6" t="s">
        <v>16</v>
      </c>
      <c r="B13" s="20">
        <f aca="true" t="shared" si="0" ref="B13:I13">B10/B11/B12</f>
        <v>512</v>
      </c>
      <c r="C13" s="20">
        <f t="shared" si="0"/>
        <v>256</v>
      </c>
      <c r="D13" s="20">
        <f t="shared" si="0"/>
        <v>256</v>
      </c>
      <c r="E13" s="20">
        <f t="shared" si="0"/>
        <v>256</v>
      </c>
      <c r="F13" s="20">
        <f t="shared" si="0"/>
        <v>512</v>
      </c>
      <c r="G13" s="20">
        <f t="shared" si="0"/>
        <v>256</v>
      </c>
      <c r="H13" s="20">
        <f t="shared" si="0"/>
        <v>256</v>
      </c>
      <c r="I13" s="20">
        <f t="shared" si="0"/>
        <v>256</v>
      </c>
      <c r="J13" s="21"/>
    </row>
    <row r="14" spans="1:10" ht="13.5">
      <c r="A14" s="8" t="s">
        <v>17</v>
      </c>
      <c r="B14" s="21">
        <f>IF(B9="BPSK",1.2,IF(B9="QPSK",0.6,IF(B9="8PSK",0.4,IF(B9="16QAM",0.3,IF(B9="CPFSK",0.8,"?")))))*B13</f>
        <v>614.4</v>
      </c>
      <c r="C14" s="21">
        <f>IF(C9="BPSK",1.2,IF(C9="QPSK",0.6,IF(C9="8PSK",0.4,IF(C9="16QAM",0.3,IF(C9="CPFSK",0.9,"?")))))*C13</f>
        <v>230.4</v>
      </c>
      <c r="D14" s="21">
        <f>IF(D9="BPSK",1.2,IF(D9="QPSK",0.6,IF(D9="8PSK",0.4,IF(D9="16QAM",0.3,IF(D9="CPFSK",0.9,"?")))))*D13</f>
        <v>230.4</v>
      </c>
      <c r="E14" s="21">
        <f>IF(E9="BPSK",1.2,IF(E9="QPSK",0.6,IF(E9="8PSK",0.4,IF(E9="16QAM",0.3,IF(E9="CPFSK",0.9,"?")))))*E13</f>
        <v>230.4</v>
      </c>
      <c r="F14" s="21">
        <f>IF(F9="BPSK",1.2,IF(F9="QPSK",0.6,IF(F9="8PSK",0.4,IF(F9="16QAM",0.3,IF(F9="CPFSK",0.8,"?")))))*F13</f>
        <v>614.4</v>
      </c>
      <c r="G14" s="21">
        <f>IF(G9="BPSK",1.2,IF(G9="QPSK",0.6,IF(G9="8PSK",0.4,IF(G9="16QAM",0.3,IF(G9="CPFSK",0.9,"?")))))*G13</f>
        <v>230.4</v>
      </c>
      <c r="H14" s="21">
        <f>IF(H9="BPSK",1.2,IF(H9="QPSK",0.6,IF(H9="8PSK",0.4,IF(H9="16QAM",0.3,IF(H9="CPFSK",0.9,"?")))))*H13</f>
        <v>230.4</v>
      </c>
      <c r="I14" s="21">
        <f>IF(I9="BPSK",1.2,IF(I9="QPSK",0.6,IF(I9="8PSK",0.4,IF(I9="16QAM",0.3,IF(I9="CPFSK",0.9,"?")))))*I13</f>
        <v>230.4</v>
      </c>
      <c r="J14" s="13"/>
    </row>
    <row r="15" spans="1:10" ht="12.75" hidden="1">
      <c r="A15" s="6" t="s">
        <v>18</v>
      </c>
      <c r="B15" s="22">
        <f aca="true" t="shared" si="1" ref="B15:I15">B14*7/6</f>
        <v>716.8000000000001</v>
      </c>
      <c r="C15" s="22">
        <f t="shared" si="1"/>
        <v>268.8</v>
      </c>
      <c r="D15" s="22">
        <f t="shared" si="1"/>
        <v>268.8</v>
      </c>
      <c r="E15" s="22">
        <f t="shared" si="1"/>
        <v>268.8</v>
      </c>
      <c r="F15" s="22">
        <f t="shared" si="1"/>
        <v>716.8000000000001</v>
      </c>
      <c r="G15" s="22">
        <f t="shared" si="1"/>
        <v>268.8</v>
      </c>
      <c r="H15" s="22">
        <f t="shared" si="1"/>
        <v>268.8</v>
      </c>
      <c r="I15" s="22">
        <f t="shared" si="1"/>
        <v>268.8</v>
      </c>
      <c r="J15" s="13"/>
    </row>
    <row r="16" spans="1:10" ht="12.75">
      <c r="A16" s="8" t="s">
        <v>19</v>
      </c>
      <c r="B16" s="19">
        <v>720</v>
      </c>
      <c r="C16" s="19">
        <v>300</v>
      </c>
      <c r="D16" s="19">
        <v>300</v>
      </c>
      <c r="E16" s="19">
        <v>300</v>
      </c>
      <c r="F16" s="19">
        <v>720</v>
      </c>
      <c r="G16" s="19">
        <v>300</v>
      </c>
      <c r="H16" s="19">
        <v>300</v>
      </c>
      <c r="I16" s="19">
        <v>300</v>
      </c>
      <c r="J16" s="23">
        <v>54000</v>
      </c>
    </row>
    <row r="17" spans="1:10" ht="13.5">
      <c r="A17" s="10" t="s">
        <v>20</v>
      </c>
      <c r="B17" s="9">
        <v>6</v>
      </c>
      <c r="C17" s="9">
        <v>6</v>
      </c>
      <c r="D17" s="9">
        <v>6</v>
      </c>
      <c r="E17" s="9">
        <v>6</v>
      </c>
      <c r="F17" s="9">
        <v>6</v>
      </c>
      <c r="G17" s="9">
        <v>6</v>
      </c>
      <c r="H17" s="9">
        <v>6</v>
      </c>
      <c r="I17" s="9">
        <v>6</v>
      </c>
      <c r="J17" s="9"/>
    </row>
    <row r="18" spans="1:10" ht="12.75">
      <c r="A18" s="10" t="s">
        <v>21</v>
      </c>
      <c r="B18" s="24">
        <f aca="true" t="shared" si="2" ref="B18:I18">B17+LOG10(B10/B14)*10</f>
        <v>2.19788758288394</v>
      </c>
      <c r="C18" s="24">
        <f t="shared" si="2"/>
        <v>3.4472749489669394</v>
      </c>
      <c r="D18" s="24">
        <f t="shared" si="2"/>
        <v>3.4472749489669394</v>
      </c>
      <c r="E18" s="24">
        <f t="shared" si="2"/>
        <v>3.4472749489669394</v>
      </c>
      <c r="F18" s="24">
        <f t="shared" si="2"/>
        <v>2.19788758288394</v>
      </c>
      <c r="G18" s="24">
        <f t="shared" si="2"/>
        <v>3.4472749489669394</v>
      </c>
      <c r="H18" s="24">
        <f t="shared" si="2"/>
        <v>3.4472749489669394</v>
      </c>
      <c r="I18" s="24">
        <f t="shared" si="2"/>
        <v>3.4472749489669394</v>
      </c>
      <c r="J18" s="13"/>
    </row>
    <row r="19" spans="1:10" ht="12.75">
      <c r="A19" s="5" t="s">
        <v>22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2.75" hidden="1">
      <c r="A20" s="27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-8</v>
      </c>
    </row>
    <row r="21" spans="1:10" ht="13.5">
      <c r="A21" s="8" t="s">
        <v>24</v>
      </c>
      <c r="B21" s="29">
        <f>LOG($J16/B16)*10+$J21+0</f>
        <v>21.750612633917</v>
      </c>
      <c r="C21" s="9">
        <f>C23+$J21-$J23</f>
        <v>18.967157390402896</v>
      </c>
      <c r="D21" s="9">
        <f>D23+$J21-$J23</f>
        <v>27.641504821828526</v>
      </c>
      <c r="E21" s="9">
        <f>E23+$J21-$J23</f>
        <v>22.20859926726346</v>
      </c>
      <c r="F21" s="29">
        <f>LOG($J16/F16)*10+$J21+0</f>
        <v>21.750612633917</v>
      </c>
      <c r="G21" s="9">
        <f>G23+$J21-$J23</f>
        <v>24.967157390402896</v>
      </c>
      <c r="H21" s="9">
        <f>H23+$J21-$J23</f>
        <v>33.641504821828526</v>
      </c>
      <c r="I21" s="9">
        <f>I23+$J21-$J23</f>
        <v>28.20859926726346</v>
      </c>
      <c r="J21" s="9">
        <v>3</v>
      </c>
    </row>
    <row r="22" spans="1:10" ht="12.75" hidden="1">
      <c r="A22" s="6" t="s">
        <v>25</v>
      </c>
      <c r="B22" s="30">
        <f aca="true" t="shared" si="3" ref="B22:I22">LOG($J16/B16)*10+$J22</f>
        <v>21.750612633917</v>
      </c>
      <c r="C22" s="30">
        <f t="shared" si="3"/>
        <v>25.55272505103306</v>
      </c>
      <c r="D22" s="30">
        <f t="shared" si="3"/>
        <v>25.55272505103306</v>
      </c>
      <c r="E22" s="30">
        <f t="shared" si="3"/>
        <v>25.55272505103306</v>
      </c>
      <c r="F22" s="30">
        <f t="shared" si="3"/>
        <v>21.750612633917</v>
      </c>
      <c r="G22" s="30">
        <f t="shared" si="3"/>
        <v>25.55272505103306</v>
      </c>
      <c r="H22" s="30">
        <f t="shared" si="3"/>
        <v>25.55272505103306</v>
      </c>
      <c r="I22" s="30">
        <f t="shared" si="3"/>
        <v>25.55272505103306</v>
      </c>
      <c r="J22" s="31">
        <f>J21</f>
        <v>3</v>
      </c>
    </row>
    <row r="23" spans="1:10" ht="13.5">
      <c r="A23" s="8" t="s">
        <v>26</v>
      </c>
      <c r="B23" s="9">
        <f>B21+$J23-$J21</f>
        <v>25.213112633917</v>
      </c>
      <c r="C23" s="29">
        <f>C5-C64</f>
        <v>22.429657390402895</v>
      </c>
      <c r="D23" s="29">
        <f>D5-D64</f>
        <v>31.104004821828525</v>
      </c>
      <c r="E23" s="29">
        <f>E5-E64</f>
        <v>25.671099267263457</v>
      </c>
      <c r="F23" s="9">
        <f>F21+$J23-$J21</f>
        <v>25.213112633917</v>
      </c>
      <c r="G23" s="29">
        <f>G5-G64</f>
        <v>28.429657390402895</v>
      </c>
      <c r="H23" s="29">
        <f>H5-H64</f>
        <v>37.104004821828525</v>
      </c>
      <c r="I23" s="29">
        <f>I5-I64</f>
        <v>31.671099267263457</v>
      </c>
      <c r="J23" s="9">
        <f>IF(J21&lt;2.17,IF(J21&lt;0.03,J21*0.75/0.03,IF(J21&lt;0.08,J21*20+0.15,IF(J21&lt;0.25,(J21-0.08)/0.17+1.75,IF(J21&lt;0.5,J21*4+1.75,IF(J21&lt;0.83,(J21-0.5)*125/33+3.75,IF(J21&lt;1.58,J21*2+3.34,(J21-1.58)/0.59+6.5)))))),IF(J21&lt;2.83,(-2.17+J21)*125/66+7.5,IF(J21&lt;3.83,(J21-2.83)*1.25+8.75,IF(J21&lt;5.25,(J21-3.83)*175/142+10,IF(J21&lt;6.67,(J21-5.25)*175/142+11.75,IF(J21&lt;12.5,(J21-6.67)*6/5.83+13.5,J21+7))))))-2.5</f>
        <v>6.4625</v>
      </c>
    </row>
    <row r="24" spans="1:10" ht="12.75" hidden="1">
      <c r="A24" s="6" t="s">
        <v>27</v>
      </c>
      <c r="B24" s="32">
        <v>14040.3</v>
      </c>
      <c r="C24" s="32">
        <v>14042.4</v>
      </c>
      <c r="D24" s="32">
        <v>14042.4</v>
      </c>
      <c r="E24" s="32">
        <v>14042.4</v>
      </c>
      <c r="F24" s="32">
        <v>14040.3</v>
      </c>
      <c r="G24" s="32">
        <v>14042.4</v>
      </c>
      <c r="H24" s="32">
        <v>14042.4</v>
      </c>
      <c r="I24" s="32">
        <v>14042.4</v>
      </c>
      <c r="J24" s="33">
        <v>14041</v>
      </c>
    </row>
    <row r="25" spans="1:10" ht="12.75" hidden="1">
      <c r="A25" s="6" t="s">
        <v>28</v>
      </c>
      <c r="B25" s="32">
        <f>+IF(B24&lt;8000,B24-2225,B24-1748)</f>
        <v>12292.3</v>
      </c>
      <c r="C25" s="32">
        <f>+IF(C24&lt;8000,C24-2225,C24-1750)</f>
        <v>12292.4</v>
      </c>
      <c r="D25" s="32">
        <f>+IF(D24&lt;8000,D24-2225,D24-1750)</f>
        <v>12292.4</v>
      </c>
      <c r="E25" s="32">
        <f>+IF(E24&lt;8000,E24-2225,E24-1750)</f>
        <v>12292.4</v>
      </c>
      <c r="F25" s="32">
        <f>+IF(F24&lt;8000,F24-2225,F24-1748)</f>
        <v>12292.3</v>
      </c>
      <c r="G25" s="32">
        <f>+IF(G24&lt;8000,G24-2225,G24-1750)</f>
        <v>12292.4</v>
      </c>
      <c r="H25" s="32">
        <f>+IF(H24&lt;8000,H24-2225,H24-1750)</f>
        <v>12292.4</v>
      </c>
      <c r="I25" s="32">
        <f>+IF(I24&lt;8000,I24-2225,I24-1750)</f>
        <v>12292.4</v>
      </c>
      <c r="J25" s="33">
        <f>+IF(J24&lt;8000,J24-2225,J24-1748)</f>
        <v>12293</v>
      </c>
    </row>
    <row r="26" ht="12.75">
      <c r="A26" s="34" t="s">
        <v>29</v>
      </c>
    </row>
    <row r="27" spans="1:10" ht="12.75" hidden="1">
      <c r="A27" s="35" t="s">
        <v>30</v>
      </c>
      <c r="B27" s="36">
        <v>1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4"/>
    </row>
    <row r="28" spans="1:10" ht="12.75" hidden="1">
      <c r="A28" s="35" t="s">
        <v>31</v>
      </c>
      <c r="B28" s="37">
        <f aca="true" t="shared" si="4" ref="B28:I28">IF(B27=0,"N/A",B21-LOG(B27)*10)</f>
        <v>21.750612633917</v>
      </c>
      <c r="C28" s="37">
        <f t="shared" si="4"/>
        <v>18.967157390402896</v>
      </c>
      <c r="D28" s="37">
        <f t="shared" si="4"/>
        <v>27.641504821828526</v>
      </c>
      <c r="E28" s="37">
        <f t="shared" si="4"/>
        <v>22.20859926726346</v>
      </c>
      <c r="F28" s="37">
        <f t="shared" si="4"/>
        <v>21.750612633917</v>
      </c>
      <c r="G28" s="37">
        <f t="shared" si="4"/>
        <v>24.967157390402896</v>
      </c>
      <c r="H28" s="37">
        <f t="shared" si="4"/>
        <v>33.641504821828526</v>
      </c>
      <c r="I28" s="37">
        <f t="shared" si="4"/>
        <v>28.20859926726346</v>
      </c>
      <c r="J28" s="4"/>
    </row>
    <row r="29" spans="1:10" ht="12.75" hidden="1">
      <c r="A29" s="35" t="s">
        <v>32</v>
      </c>
      <c r="B29" s="38">
        <f aca="true" t="shared" si="5" ref="B29:I29">B16*B27</f>
        <v>720</v>
      </c>
      <c r="C29" s="38">
        <f t="shared" si="5"/>
        <v>300</v>
      </c>
      <c r="D29" s="38">
        <f t="shared" si="5"/>
        <v>300</v>
      </c>
      <c r="E29" s="38">
        <f t="shared" si="5"/>
        <v>300</v>
      </c>
      <c r="F29" s="38">
        <f t="shared" si="5"/>
        <v>720</v>
      </c>
      <c r="G29" s="38">
        <f t="shared" si="5"/>
        <v>300</v>
      </c>
      <c r="H29" s="38">
        <f t="shared" si="5"/>
        <v>300</v>
      </c>
      <c r="I29" s="38">
        <f t="shared" si="5"/>
        <v>300</v>
      </c>
      <c r="J29" s="4"/>
    </row>
    <row r="30" spans="1:10" ht="12.75">
      <c r="A30" s="39" t="s">
        <v>33</v>
      </c>
      <c r="B30" s="40">
        <f aca="true" t="shared" si="6" ref="B30:I30">IF(B27=0,0,10^(($J21-B28)/10)*100)</f>
        <v>1.3333333333333326</v>
      </c>
      <c r="C30" s="40">
        <f t="shared" si="6"/>
        <v>2.5309540525467944</v>
      </c>
      <c r="D30" s="40">
        <f t="shared" si="6"/>
        <v>0.3434389263689472</v>
      </c>
      <c r="E30" s="40">
        <f t="shared" si="6"/>
        <v>1.199886240813788</v>
      </c>
      <c r="F30" s="40">
        <f t="shared" si="6"/>
        <v>1.3333333333333326</v>
      </c>
      <c r="G30" s="40">
        <f t="shared" si="6"/>
        <v>0.6357469143366475</v>
      </c>
      <c r="H30" s="40">
        <f t="shared" si="6"/>
        <v>0.08626795791983766</v>
      </c>
      <c r="I30" s="40">
        <f t="shared" si="6"/>
        <v>0.3013977967655189</v>
      </c>
      <c r="J30" s="4"/>
    </row>
    <row r="31" spans="1:10" ht="12.75">
      <c r="A31" s="39" t="s">
        <v>34</v>
      </c>
      <c r="B31" s="41">
        <f aca="true" t="shared" si="7" ref="B31:I31">IF(B27=0,0,B29/$J16*100)</f>
        <v>1.3333333333333335</v>
      </c>
      <c r="C31" s="41">
        <f t="shared" si="7"/>
        <v>0.5555555555555556</v>
      </c>
      <c r="D31" s="41">
        <f t="shared" si="7"/>
        <v>0.5555555555555556</v>
      </c>
      <c r="E31" s="41">
        <f t="shared" si="7"/>
        <v>0.5555555555555556</v>
      </c>
      <c r="F31" s="41">
        <f t="shared" si="7"/>
        <v>1.3333333333333335</v>
      </c>
      <c r="G31" s="41">
        <f t="shared" si="7"/>
        <v>0.5555555555555556</v>
      </c>
      <c r="H31" s="41">
        <f t="shared" si="7"/>
        <v>0.5555555555555556</v>
      </c>
      <c r="I31" s="41">
        <f t="shared" si="7"/>
        <v>0.5555555555555556</v>
      </c>
      <c r="J31" s="4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6"/>
    </row>
    <row r="33" spans="1:10" ht="12.75">
      <c r="A33" s="5" t="s">
        <v>35</v>
      </c>
      <c r="B33" s="42"/>
      <c r="C33" s="42"/>
      <c r="D33" s="42"/>
      <c r="E33" s="42"/>
      <c r="F33" s="42"/>
      <c r="G33" s="42"/>
      <c r="H33" s="42"/>
      <c r="I33" s="42"/>
      <c r="J33" s="26"/>
    </row>
    <row r="34" spans="1:10" ht="12.75">
      <c r="A34" s="10" t="s">
        <v>36</v>
      </c>
      <c r="B34" s="12">
        <v>4.5</v>
      </c>
      <c r="C34" s="12">
        <v>3</v>
      </c>
      <c r="D34" s="12">
        <v>3</v>
      </c>
      <c r="E34" s="12">
        <v>1.8</v>
      </c>
      <c r="F34" s="12">
        <v>4.5</v>
      </c>
      <c r="G34" s="12">
        <v>3</v>
      </c>
      <c r="H34" s="12">
        <v>3</v>
      </c>
      <c r="I34" s="12">
        <v>1.8</v>
      </c>
      <c r="J34" s="13" t="s">
        <v>1</v>
      </c>
    </row>
    <row r="35" spans="1:10" ht="13.5" customHeight="1">
      <c r="A35" s="8" t="s">
        <v>37</v>
      </c>
      <c r="B35" s="8" t="s">
        <v>38</v>
      </c>
      <c r="C35" s="8" t="s">
        <v>39</v>
      </c>
      <c r="D35" s="8" t="s">
        <v>40</v>
      </c>
      <c r="E35" s="8" t="s">
        <v>41</v>
      </c>
      <c r="F35" s="8" t="s">
        <v>38</v>
      </c>
      <c r="G35" s="8" t="s">
        <v>39</v>
      </c>
      <c r="H35" s="8" t="s">
        <v>40</v>
      </c>
      <c r="I35" s="8" t="s">
        <v>41</v>
      </c>
      <c r="J35" s="13" t="s">
        <v>1</v>
      </c>
    </row>
    <row r="36" spans="1:10" ht="12.75" hidden="1">
      <c r="A36" s="10" t="s">
        <v>42</v>
      </c>
      <c r="B36" s="16">
        <v>116.43</v>
      </c>
      <c r="C36" s="16">
        <v>113.26</v>
      </c>
      <c r="D36" s="16">
        <v>87.62</v>
      </c>
      <c r="E36" s="16">
        <v>114.37</v>
      </c>
      <c r="F36" s="16">
        <v>116.43</v>
      </c>
      <c r="G36" s="16">
        <v>113.26</v>
      </c>
      <c r="H36" s="16">
        <v>87.62</v>
      </c>
      <c r="I36" s="16">
        <v>114.37</v>
      </c>
      <c r="J36" s="13" t="s">
        <v>1</v>
      </c>
    </row>
    <row r="37" spans="1:10" ht="12.75" hidden="1">
      <c r="A37" s="10" t="s">
        <v>43</v>
      </c>
      <c r="B37" s="16">
        <v>39.92</v>
      </c>
      <c r="C37" s="16">
        <v>23.13</v>
      </c>
      <c r="D37" s="16">
        <v>43.63</v>
      </c>
      <c r="E37" s="16">
        <v>30.53</v>
      </c>
      <c r="F37" s="16">
        <v>39.92</v>
      </c>
      <c r="G37" s="16">
        <v>23.13</v>
      </c>
      <c r="H37" s="16">
        <v>43.63</v>
      </c>
      <c r="I37" s="16">
        <v>30.53</v>
      </c>
      <c r="J37" s="13" t="s">
        <v>1</v>
      </c>
    </row>
    <row r="38" spans="1:10" ht="12.75" hidden="1">
      <c r="A38" s="10" t="s">
        <v>44</v>
      </c>
      <c r="B38" s="43">
        <f aca="true" t="shared" si="8" ref="B38:I38">+SQRT(3.3811-COS(B37*PI()/180)*COS(ABS(B36-B4)*PI()/180))*23192</f>
        <v>37597.311128721594</v>
      </c>
      <c r="C38" s="43">
        <f t="shared" si="8"/>
        <v>36448.3924014803</v>
      </c>
      <c r="D38" s="43">
        <f t="shared" si="8"/>
        <v>38053.600070244196</v>
      </c>
      <c r="E38" s="43">
        <f t="shared" si="8"/>
        <v>36889.41110061984</v>
      </c>
      <c r="F38" s="43">
        <f t="shared" si="8"/>
        <v>37597.311128721594</v>
      </c>
      <c r="G38" s="43">
        <f t="shared" si="8"/>
        <v>36448.3924014803</v>
      </c>
      <c r="H38" s="43">
        <f t="shared" si="8"/>
        <v>38053.600070244196</v>
      </c>
      <c r="I38" s="43">
        <f t="shared" si="8"/>
        <v>36889.41110061984</v>
      </c>
      <c r="J38" s="13" t="s">
        <v>1</v>
      </c>
    </row>
    <row r="39" spans="1:10" ht="12.75" hidden="1">
      <c r="A39" s="10" t="s">
        <v>45</v>
      </c>
      <c r="B39" s="44">
        <f aca="true" t="shared" si="9" ref="B39:I39">+ATAN((COS(ABS(B$4-B36)*PI()/180)*COS(B37*PI()/180)-0.151)/SQRT(1-(COS(ABS(B$4-B36)*PI()/180)*COS(B37*PI()/180))^2))*180/PI()</f>
        <v>42.45707625163344</v>
      </c>
      <c r="C39" s="44">
        <f t="shared" si="9"/>
        <v>61.54514808814432</v>
      </c>
      <c r="D39" s="44">
        <f t="shared" si="9"/>
        <v>36.57410887802187</v>
      </c>
      <c r="E39" s="44">
        <f t="shared" si="9"/>
        <v>53.129125601896284</v>
      </c>
      <c r="F39" s="44">
        <f t="shared" si="9"/>
        <v>42.45707625163344</v>
      </c>
      <c r="G39" s="44">
        <f t="shared" si="9"/>
        <v>61.54514808814432</v>
      </c>
      <c r="H39" s="44">
        <f t="shared" si="9"/>
        <v>36.57410887802187</v>
      </c>
      <c r="I39" s="44">
        <f t="shared" si="9"/>
        <v>53.129125601896284</v>
      </c>
      <c r="J39" s="13" t="s">
        <v>1</v>
      </c>
    </row>
    <row r="40" spans="1:10" ht="12.75" hidden="1">
      <c r="A40" s="10" t="s">
        <v>46</v>
      </c>
      <c r="B40" s="45">
        <f aca="true" t="shared" si="10" ref="B40:I40">IF(B37&lt;0,0,180)+IF(B36&gt;=B4,1,-1)*ATAN(TAN(ABS(B4-B36)*PI()/180)/SIN(B37*PI()/180))*180/PI()</f>
        <v>196.74817484559023</v>
      </c>
      <c r="C40" s="45">
        <f t="shared" si="10"/>
        <v>199.13205033572038</v>
      </c>
      <c r="D40" s="45">
        <f t="shared" si="10"/>
        <v>154.94177119088963</v>
      </c>
      <c r="E40" s="45">
        <f t="shared" si="10"/>
        <v>197.0774803132931</v>
      </c>
      <c r="F40" s="45">
        <f t="shared" si="10"/>
        <v>196.74817484559023</v>
      </c>
      <c r="G40" s="45">
        <f t="shared" si="10"/>
        <v>199.13205033572038</v>
      </c>
      <c r="H40" s="45">
        <f t="shared" si="10"/>
        <v>154.94177119088963</v>
      </c>
      <c r="I40" s="45">
        <f t="shared" si="10"/>
        <v>197.0774803132931</v>
      </c>
      <c r="J40" s="13" t="s">
        <v>1</v>
      </c>
    </row>
    <row r="41" spans="1:10" ht="12.75">
      <c r="A41" s="2" t="s">
        <v>47</v>
      </c>
      <c r="B41" s="16">
        <f>LOG10(40)*10</f>
        <v>16.02059991327962</v>
      </c>
      <c r="C41" s="16">
        <f aca="true" t="shared" si="11" ref="C41:H41">LOG10(0.8)*10</f>
        <v>-0.969100130080564</v>
      </c>
      <c r="D41" s="16">
        <f t="shared" si="11"/>
        <v>-0.969100130080564</v>
      </c>
      <c r="E41" s="16">
        <f>LOG10(0.8)*10</f>
        <v>-0.969100130080564</v>
      </c>
      <c r="F41" s="16">
        <f>LOG10(40)*10</f>
        <v>16.02059991327962</v>
      </c>
      <c r="G41" s="16">
        <f t="shared" si="11"/>
        <v>-0.969100130080564</v>
      </c>
      <c r="H41" s="16">
        <f t="shared" si="11"/>
        <v>-0.969100130080564</v>
      </c>
      <c r="I41" s="16">
        <f>LOG10(0.8)*10</f>
        <v>-0.969100130080564</v>
      </c>
      <c r="J41" s="13" t="s">
        <v>1</v>
      </c>
    </row>
    <row r="42" spans="1:10" ht="12.75">
      <c r="A42" s="8" t="s">
        <v>48</v>
      </c>
      <c r="B42" s="24">
        <f>+B60-B45</f>
        <v>-6.203513342038676</v>
      </c>
      <c r="C42" s="24">
        <f>C41-1</f>
        <v>-1.969100130080564</v>
      </c>
      <c r="D42" s="24">
        <f>D41-1</f>
        <v>-1.969100130080564</v>
      </c>
      <c r="E42" s="24">
        <f>E41-1</f>
        <v>-1.969100130080564</v>
      </c>
      <c r="F42" s="24">
        <f>+F60-F45</f>
        <v>-0.20351334203867566</v>
      </c>
      <c r="G42" s="24">
        <f>G41-1</f>
        <v>-1.969100130080564</v>
      </c>
      <c r="H42" s="24">
        <f>H41-1</f>
        <v>-1.969100130080564</v>
      </c>
      <c r="I42" s="24">
        <f>I41-1</f>
        <v>-1.969100130080564</v>
      </c>
      <c r="J42" s="13" t="s">
        <v>1</v>
      </c>
    </row>
    <row r="43" spans="1:10" ht="12.75">
      <c r="A43" s="8" t="s">
        <v>49</v>
      </c>
      <c r="B43" s="24">
        <f>B42+8+1</f>
        <v>2.7964866579613243</v>
      </c>
      <c r="C43" s="46">
        <f>C41</f>
        <v>-0.969100130080564</v>
      </c>
      <c r="D43" s="46">
        <f>D41</f>
        <v>-0.969100130080564</v>
      </c>
      <c r="E43" s="46">
        <f>E41</f>
        <v>-0.969100130080564</v>
      </c>
      <c r="F43" s="47">
        <f>F42+6+1</f>
        <v>6.796486657961324</v>
      </c>
      <c r="G43" s="46">
        <f>G41</f>
        <v>-0.969100130080564</v>
      </c>
      <c r="H43" s="46">
        <f>H41</f>
        <v>-0.969100130080564</v>
      </c>
      <c r="I43" s="46">
        <f>I41</f>
        <v>-0.969100130080564</v>
      </c>
      <c r="J43" s="13"/>
    </row>
    <row r="44" spans="1:10" ht="12.75" hidden="1">
      <c r="A44" s="10" t="s">
        <v>50</v>
      </c>
      <c r="B44" s="28">
        <v>60</v>
      </c>
      <c r="C44" s="28">
        <v>60</v>
      </c>
      <c r="D44" s="28">
        <v>60</v>
      </c>
      <c r="E44" s="28">
        <v>60</v>
      </c>
      <c r="F44" s="28">
        <v>60</v>
      </c>
      <c r="G44" s="28">
        <v>60</v>
      </c>
      <c r="H44" s="28">
        <v>60</v>
      </c>
      <c r="I44" s="28">
        <v>60</v>
      </c>
      <c r="J44" s="13" t="s">
        <v>1</v>
      </c>
    </row>
    <row r="45" spans="1:10" ht="12.75">
      <c r="A45" s="10" t="s">
        <v>51</v>
      </c>
      <c r="B45" s="24">
        <f aca="true" t="shared" si="12" ref="B45:I45">+LOG10((PI()*B24*B34/3000)^2*B44)*10</f>
        <v>54.193862888658074</v>
      </c>
      <c r="C45" s="24">
        <f t="shared" si="12"/>
        <v>50.6733367541656</v>
      </c>
      <c r="D45" s="24">
        <f t="shared" si="12"/>
        <v>50.6733367541656</v>
      </c>
      <c r="E45" s="24">
        <f t="shared" si="12"/>
        <v>46.236361761838474</v>
      </c>
      <c r="F45" s="24">
        <f t="shared" si="12"/>
        <v>54.193862888658074</v>
      </c>
      <c r="G45" s="24">
        <f t="shared" si="12"/>
        <v>50.6733367541656</v>
      </c>
      <c r="H45" s="24">
        <f t="shared" si="12"/>
        <v>50.6733367541656</v>
      </c>
      <c r="I45" s="24">
        <f t="shared" si="12"/>
        <v>46.236361761838474</v>
      </c>
      <c r="J45" s="13" t="s">
        <v>1</v>
      </c>
    </row>
    <row r="46" ht="12.75">
      <c r="A46" s="5" t="s">
        <v>52</v>
      </c>
    </row>
    <row r="47" spans="1:10" ht="12.75">
      <c r="A47" s="10" t="s">
        <v>36</v>
      </c>
      <c r="B47" s="12">
        <v>3</v>
      </c>
      <c r="C47" s="12">
        <v>4.5</v>
      </c>
      <c r="D47" s="12">
        <v>4.5</v>
      </c>
      <c r="E47" s="12">
        <v>4.5</v>
      </c>
      <c r="F47" s="12">
        <v>3</v>
      </c>
      <c r="G47" s="12">
        <v>4.5</v>
      </c>
      <c r="H47" s="12">
        <v>4.5</v>
      </c>
      <c r="I47" s="12">
        <v>4.5</v>
      </c>
      <c r="J47" s="13" t="s">
        <v>1</v>
      </c>
    </row>
    <row r="48" spans="1:10" ht="13.5" customHeight="1">
      <c r="A48" s="8" t="s">
        <v>37</v>
      </c>
      <c r="B48" s="8" t="s">
        <v>40</v>
      </c>
      <c r="C48" s="8" t="s">
        <v>38</v>
      </c>
      <c r="D48" s="8" t="s">
        <v>38</v>
      </c>
      <c r="E48" s="8" t="s">
        <v>38</v>
      </c>
      <c r="F48" s="8" t="s">
        <v>40</v>
      </c>
      <c r="G48" s="8" t="s">
        <v>38</v>
      </c>
      <c r="H48" s="8" t="s">
        <v>38</v>
      </c>
      <c r="I48" s="8" t="s">
        <v>38</v>
      </c>
      <c r="J48" s="13" t="s">
        <v>1</v>
      </c>
    </row>
    <row r="49" spans="1:10" ht="12.75" hidden="1">
      <c r="A49" s="10" t="s">
        <v>42</v>
      </c>
      <c r="B49" s="16">
        <v>87.62</v>
      </c>
      <c r="C49" s="16">
        <v>116.43</v>
      </c>
      <c r="D49" s="16">
        <v>116.43</v>
      </c>
      <c r="E49" s="16">
        <v>116.43</v>
      </c>
      <c r="F49" s="16">
        <v>87.62</v>
      </c>
      <c r="G49" s="16">
        <v>116.43</v>
      </c>
      <c r="H49" s="16">
        <v>116.43</v>
      </c>
      <c r="I49" s="16">
        <v>116.43</v>
      </c>
      <c r="J49" s="17"/>
    </row>
    <row r="50" spans="1:10" ht="12.75" hidden="1">
      <c r="A50" s="10" t="s">
        <v>43</v>
      </c>
      <c r="B50" s="16">
        <v>43.63</v>
      </c>
      <c r="C50" s="16">
        <v>39.92</v>
      </c>
      <c r="D50" s="16">
        <v>39.92</v>
      </c>
      <c r="E50" s="16">
        <v>39.92</v>
      </c>
      <c r="F50" s="16">
        <v>43.63</v>
      </c>
      <c r="G50" s="16">
        <v>39.92</v>
      </c>
      <c r="H50" s="16">
        <v>39.92</v>
      </c>
      <c r="I50" s="16">
        <v>39.92</v>
      </c>
      <c r="J50" s="17"/>
    </row>
    <row r="51" spans="1:10" ht="12.75" hidden="1">
      <c r="A51" s="10" t="s">
        <v>44</v>
      </c>
      <c r="B51" s="43">
        <f aca="true" t="shared" si="13" ref="B51:I51">+SQRT(3.3811-COS(B50*PI()/180)*COS(ABS(B49-B4)*PI()/180))*23192</f>
        <v>38053.600070244196</v>
      </c>
      <c r="C51" s="43">
        <f t="shared" si="13"/>
        <v>37597.311128721594</v>
      </c>
      <c r="D51" s="43">
        <f t="shared" si="13"/>
        <v>37597.311128721594</v>
      </c>
      <c r="E51" s="43">
        <f t="shared" si="13"/>
        <v>37597.311128721594</v>
      </c>
      <c r="F51" s="43">
        <f t="shared" si="13"/>
        <v>38053.600070244196</v>
      </c>
      <c r="G51" s="43">
        <f t="shared" si="13"/>
        <v>37597.311128721594</v>
      </c>
      <c r="H51" s="43">
        <f t="shared" si="13"/>
        <v>37597.311128721594</v>
      </c>
      <c r="I51" s="43">
        <f t="shared" si="13"/>
        <v>37597.311128721594</v>
      </c>
      <c r="J51" s="17"/>
    </row>
    <row r="52" spans="1:10" ht="12.75" hidden="1">
      <c r="A52" s="10" t="s">
        <v>45</v>
      </c>
      <c r="B52" s="44">
        <f aca="true" t="shared" si="14" ref="B52:I52">+ATAN((COS(ABS(B$4-B49)*PI()/180)*COS(B50*PI()/180)-0.151)/SQRT(1-(COS(ABS(B$4-B49)*PI()/180)*COS(B50*PI()/180))^2))*180/PI()</f>
        <v>36.57410887802187</v>
      </c>
      <c r="C52" s="44">
        <f t="shared" si="14"/>
        <v>42.45707625163344</v>
      </c>
      <c r="D52" s="44">
        <f t="shared" si="14"/>
        <v>42.45707625163344</v>
      </c>
      <c r="E52" s="44">
        <f t="shared" si="14"/>
        <v>42.45707625163344</v>
      </c>
      <c r="F52" s="44">
        <f t="shared" si="14"/>
        <v>36.57410887802187</v>
      </c>
      <c r="G52" s="44">
        <f t="shared" si="14"/>
        <v>42.45707625163344</v>
      </c>
      <c r="H52" s="44">
        <f t="shared" si="14"/>
        <v>42.45707625163344</v>
      </c>
      <c r="I52" s="44">
        <f t="shared" si="14"/>
        <v>42.45707625163344</v>
      </c>
      <c r="J52" s="17"/>
    </row>
    <row r="53" spans="1:10" ht="12.75" hidden="1">
      <c r="A53" s="10" t="s">
        <v>46</v>
      </c>
      <c r="B53" s="45">
        <f aca="true" t="shared" si="15" ref="B53:I53">IF(B50&lt;0,0,180)+IF(B49&gt;=B4,1,-1)*ATAN(TAN(ABS(B4-B49)*PI()/180)/SIN(B50*PI()/180))*180/PI()</f>
        <v>154.94177119088963</v>
      </c>
      <c r="C53" s="45">
        <f t="shared" si="15"/>
        <v>196.74817484559023</v>
      </c>
      <c r="D53" s="45">
        <f t="shared" si="15"/>
        <v>196.74817484559023</v>
      </c>
      <c r="E53" s="45">
        <f t="shared" si="15"/>
        <v>196.74817484559023</v>
      </c>
      <c r="F53" s="45">
        <f t="shared" si="15"/>
        <v>154.94177119088963</v>
      </c>
      <c r="G53" s="45">
        <f t="shared" si="15"/>
        <v>196.74817484559023</v>
      </c>
      <c r="H53" s="45">
        <f t="shared" si="15"/>
        <v>196.74817484559023</v>
      </c>
      <c r="I53" s="45">
        <f t="shared" si="15"/>
        <v>196.74817484559023</v>
      </c>
      <c r="J53" s="17"/>
    </row>
    <row r="54" spans="1:10" ht="12.75" hidden="1">
      <c r="A54" s="10" t="s">
        <v>50</v>
      </c>
      <c r="B54" s="28">
        <v>62</v>
      </c>
      <c r="C54" s="28">
        <v>62</v>
      </c>
      <c r="D54" s="28">
        <v>62</v>
      </c>
      <c r="E54" s="28">
        <v>62</v>
      </c>
      <c r="F54" s="28">
        <v>62</v>
      </c>
      <c r="G54" s="28">
        <v>62</v>
      </c>
      <c r="H54" s="28">
        <v>62</v>
      </c>
      <c r="I54" s="28">
        <v>62</v>
      </c>
      <c r="J54" s="17"/>
    </row>
    <row r="55" spans="1:10" ht="12.75">
      <c r="A55" s="10" t="s">
        <v>51</v>
      </c>
      <c r="B55" s="24">
        <f aca="true" t="shared" si="16" ref="B55:I55">+LOG10((B47*B25*PI()/3000)^2*B54)*10</f>
        <v>49.659577366810865</v>
      </c>
      <c r="C55" s="24">
        <f t="shared" si="16"/>
        <v>53.181473208861064</v>
      </c>
      <c r="D55" s="24">
        <f t="shared" si="16"/>
        <v>53.181473208861064</v>
      </c>
      <c r="E55" s="24">
        <f t="shared" si="16"/>
        <v>53.181473208861064</v>
      </c>
      <c r="F55" s="24">
        <f t="shared" si="16"/>
        <v>49.659577366810865</v>
      </c>
      <c r="G55" s="24">
        <f t="shared" si="16"/>
        <v>53.181473208861064</v>
      </c>
      <c r="H55" s="24">
        <f t="shared" si="16"/>
        <v>53.181473208861064</v>
      </c>
      <c r="I55" s="24">
        <f t="shared" si="16"/>
        <v>53.181473208861064</v>
      </c>
      <c r="J55" s="17"/>
    </row>
    <row r="56" spans="1:10" ht="12.75" hidden="1">
      <c r="A56" s="8" t="s">
        <v>53</v>
      </c>
      <c r="B56" s="31">
        <f aca="true" t="shared" si="17" ref="B56:I56">LOG(185)*10</f>
        <v>22.671717284030137</v>
      </c>
      <c r="C56" s="31">
        <f t="shared" si="17"/>
        <v>22.671717284030137</v>
      </c>
      <c r="D56" s="31">
        <f t="shared" si="17"/>
        <v>22.671717284030137</v>
      </c>
      <c r="E56" s="31">
        <f t="shared" si="17"/>
        <v>22.671717284030137</v>
      </c>
      <c r="F56" s="31">
        <f t="shared" si="17"/>
        <v>22.671717284030137</v>
      </c>
      <c r="G56" s="31">
        <f t="shared" si="17"/>
        <v>22.671717284030137</v>
      </c>
      <c r="H56" s="31">
        <f t="shared" si="17"/>
        <v>22.671717284030137</v>
      </c>
      <c r="I56" s="31">
        <f t="shared" si="17"/>
        <v>22.671717284030137</v>
      </c>
      <c r="J56" s="17"/>
    </row>
    <row r="57" spans="1:10" ht="12.75">
      <c r="A57" s="10" t="s">
        <v>7</v>
      </c>
      <c r="B57" s="48">
        <f aca="true" t="shared" si="18" ref="B57:I57">+B55-B56</f>
        <v>26.987860082780728</v>
      </c>
      <c r="C57" s="48">
        <f t="shared" si="18"/>
        <v>30.509755924830927</v>
      </c>
      <c r="D57" s="48">
        <f t="shared" si="18"/>
        <v>30.509755924830927</v>
      </c>
      <c r="E57" s="48">
        <f t="shared" si="18"/>
        <v>30.509755924830927</v>
      </c>
      <c r="F57" s="48">
        <f t="shared" si="18"/>
        <v>26.987860082780728</v>
      </c>
      <c r="G57" s="48">
        <f t="shared" si="18"/>
        <v>30.509755924830927</v>
      </c>
      <c r="H57" s="48">
        <f t="shared" si="18"/>
        <v>30.509755924830927</v>
      </c>
      <c r="I57" s="48">
        <f t="shared" si="18"/>
        <v>30.509755924830927</v>
      </c>
      <c r="J57" s="17"/>
    </row>
    <row r="58" ht="12.75">
      <c r="J58" s="17"/>
    </row>
    <row r="59" spans="1:10" ht="12.75">
      <c r="A59" s="5" t="s">
        <v>54</v>
      </c>
      <c r="B59" s="48"/>
      <c r="C59" s="48"/>
      <c r="D59" s="48"/>
      <c r="E59" s="48"/>
      <c r="F59" s="48"/>
      <c r="G59" s="48"/>
      <c r="H59" s="48"/>
      <c r="I59" s="48"/>
      <c r="J59" s="13" t="s">
        <v>1</v>
      </c>
    </row>
    <row r="60" spans="1:10" ht="12.75">
      <c r="A60" s="8" t="s">
        <v>55</v>
      </c>
      <c r="B60" s="45">
        <f>+B64+B$61+B$62-B$63</f>
        <v>47.9903495466194</v>
      </c>
      <c r="C60" s="45">
        <f>C42+C45</f>
        <v>48.704236624085034</v>
      </c>
      <c r="D60" s="45">
        <f>D42+D45</f>
        <v>48.704236624085034</v>
      </c>
      <c r="E60" s="45">
        <f>E42+E45</f>
        <v>44.26726163175791</v>
      </c>
      <c r="F60" s="45">
        <f>+F64+F$61+F$62-F$63</f>
        <v>53.9903495466194</v>
      </c>
      <c r="G60" s="45">
        <f>G42+G45</f>
        <v>48.704236624085034</v>
      </c>
      <c r="H60" s="45">
        <f>H42+H45</f>
        <v>48.704236624085034</v>
      </c>
      <c r="I60" s="45">
        <f>I42+I45</f>
        <v>44.26726163175791</v>
      </c>
      <c r="J60" s="13" t="s">
        <v>1</v>
      </c>
    </row>
    <row r="61" spans="1:10" ht="12.75" hidden="1">
      <c r="A61" s="8" t="s">
        <v>56</v>
      </c>
      <c r="B61" s="45">
        <f aca="true" t="shared" si="19" ref="B61:I61">92.45+20*LOG10(B38)+20*LOG10(B24/1000)</f>
        <v>206.90066347618944</v>
      </c>
      <c r="C61" s="45">
        <f t="shared" si="19"/>
        <v>206.63239435676212</v>
      </c>
      <c r="D61" s="45">
        <f t="shared" si="19"/>
        <v>207.00674178818775</v>
      </c>
      <c r="E61" s="45">
        <f t="shared" si="19"/>
        <v>206.73686124129557</v>
      </c>
      <c r="F61" s="45">
        <f t="shared" si="19"/>
        <v>206.90066347618944</v>
      </c>
      <c r="G61" s="45">
        <f t="shared" si="19"/>
        <v>206.63239435676212</v>
      </c>
      <c r="H61" s="45">
        <f t="shared" si="19"/>
        <v>207.00674178818775</v>
      </c>
      <c r="I61" s="45">
        <f t="shared" si="19"/>
        <v>206.73686124129557</v>
      </c>
      <c r="J61" s="13" t="s">
        <v>1</v>
      </c>
    </row>
    <row r="62" spans="1:10" ht="12.75" hidden="1">
      <c r="A62" s="10" t="s">
        <v>57</v>
      </c>
      <c r="B62" s="9">
        <v>0.5</v>
      </c>
      <c r="C62" s="9">
        <v>0.5</v>
      </c>
      <c r="D62" s="9">
        <v>0.5</v>
      </c>
      <c r="E62" s="9">
        <v>0.5</v>
      </c>
      <c r="F62" s="9">
        <v>0.5</v>
      </c>
      <c r="G62" s="9">
        <v>0.5</v>
      </c>
      <c r="H62" s="9">
        <v>0.5</v>
      </c>
      <c r="I62" s="9">
        <v>0.5</v>
      </c>
      <c r="J62" s="13" t="s">
        <v>1</v>
      </c>
    </row>
    <row r="63" spans="1:10" ht="13.5" hidden="1">
      <c r="A63" s="2" t="s">
        <v>58</v>
      </c>
      <c r="B63" s="9">
        <f aca="true" t="shared" si="20" ref="B63:I63">10*LOG10(PI()*B24*B24/22500)</f>
        <v>44.39720129565305</v>
      </c>
      <c r="C63" s="9">
        <f t="shared" si="20"/>
        <v>44.3985003422742</v>
      </c>
      <c r="D63" s="9">
        <f t="shared" si="20"/>
        <v>44.3985003422742</v>
      </c>
      <c r="E63" s="9">
        <f t="shared" si="20"/>
        <v>44.3985003422742</v>
      </c>
      <c r="F63" s="9">
        <f t="shared" si="20"/>
        <v>44.39720129565305</v>
      </c>
      <c r="G63" s="9">
        <f t="shared" si="20"/>
        <v>44.3985003422742</v>
      </c>
      <c r="H63" s="9">
        <f t="shared" si="20"/>
        <v>44.3985003422742</v>
      </c>
      <c r="I63" s="9">
        <f t="shared" si="20"/>
        <v>44.3985003422742</v>
      </c>
      <c r="J63" s="13" t="s">
        <v>1</v>
      </c>
    </row>
    <row r="64" spans="1:10" ht="13.5">
      <c r="A64" s="8" t="s">
        <v>59</v>
      </c>
      <c r="B64" s="45">
        <f>+B5-B23</f>
        <v>-115.01311263391699</v>
      </c>
      <c r="C64" s="45">
        <f>C60+C63-C61-C62</f>
        <v>-114.02965739040289</v>
      </c>
      <c r="D64" s="45">
        <f>D60+D63-D61-D62</f>
        <v>-114.40400482182852</v>
      </c>
      <c r="E64" s="45">
        <f>E60+E63-E61-E62</f>
        <v>-118.57109926726346</v>
      </c>
      <c r="F64" s="45">
        <f>+F5-F23</f>
        <v>-109.01311263391699</v>
      </c>
      <c r="G64" s="45">
        <f>G60+G63-G61-G62</f>
        <v>-114.02965739040289</v>
      </c>
      <c r="H64" s="45">
        <f>H60+H63-H61-H62</f>
        <v>-114.40400482182852</v>
      </c>
      <c r="I64" s="45">
        <f>I60+I63-I61-I62</f>
        <v>-118.57109926726346</v>
      </c>
      <c r="J64" s="13" t="s">
        <v>1</v>
      </c>
    </row>
    <row r="65" spans="1:10" ht="12.75">
      <c r="A65" s="8" t="s">
        <v>60</v>
      </c>
      <c r="B65" s="45">
        <f aca="true" t="shared" si="21" ref="B65:I65">+B60-B$61-B$62+B$6</f>
        <v>-154.61031392957003</v>
      </c>
      <c r="C65" s="45">
        <f t="shared" si="21"/>
        <v>-151.82815773267708</v>
      </c>
      <c r="D65" s="45">
        <f t="shared" si="21"/>
        <v>-160.5025051641027</v>
      </c>
      <c r="E65" s="45">
        <f t="shared" si="21"/>
        <v>-155.06959960953765</v>
      </c>
      <c r="F65" s="45">
        <f t="shared" si="21"/>
        <v>-148.61031392957003</v>
      </c>
      <c r="G65" s="45">
        <f t="shared" si="21"/>
        <v>-151.82815773267708</v>
      </c>
      <c r="H65" s="45">
        <f t="shared" si="21"/>
        <v>-160.5025051641027</v>
      </c>
      <c r="I65" s="45">
        <f t="shared" si="21"/>
        <v>-155.06959960953765</v>
      </c>
      <c r="J65" s="13"/>
    </row>
    <row r="66" spans="1:10" ht="12.75">
      <c r="A66" s="5" t="s">
        <v>61</v>
      </c>
      <c r="B66" s="49"/>
      <c r="C66" s="49"/>
      <c r="D66" s="49"/>
      <c r="E66" s="49"/>
      <c r="F66" s="49"/>
      <c r="G66" s="49"/>
      <c r="H66" s="49"/>
      <c r="I66" s="49"/>
      <c r="J66" s="13"/>
    </row>
    <row r="67" spans="1:10" ht="12.75">
      <c r="A67" s="8" t="s">
        <v>62</v>
      </c>
      <c r="B67" s="44">
        <f aca="true" t="shared" si="22" ref="B67:I67">+B7-B21</f>
        <v>24.449387366083002</v>
      </c>
      <c r="C67" s="44">
        <f t="shared" si="22"/>
        <v>32.3328426095971</v>
      </c>
      <c r="D67" s="44">
        <f t="shared" si="22"/>
        <v>23.65849517817147</v>
      </c>
      <c r="E67" s="44">
        <f t="shared" si="22"/>
        <v>29.09140073273654</v>
      </c>
      <c r="F67" s="44">
        <f t="shared" si="22"/>
        <v>24.449387366083002</v>
      </c>
      <c r="G67" s="44">
        <f t="shared" si="22"/>
        <v>26.3328426095971</v>
      </c>
      <c r="H67" s="44">
        <f t="shared" si="22"/>
        <v>17.65849517817147</v>
      </c>
      <c r="I67" s="44">
        <f t="shared" si="22"/>
        <v>23.09140073273654</v>
      </c>
      <c r="J67" s="13"/>
    </row>
    <row r="68" spans="1:10" ht="12.75" hidden="1">
      <c r="A68" s="8" t="s">
        <v>56</v>
      </c>
      <c r="B68" s="45">
        <f aca="true" t="shared" si="23" ref="B68:I68">92.45+20*LOG10(B51)+20*LOG10((B25)/1000)</f>
        <v>205.8505780096869</v>
      </c>
      <c r="C68" s="45">
        <f t="shared" si="23"/>
        <v>205.74586940524634</v>
      </c>
      <c r="D68" s="45">
        <f t="shared" si="23"/>
        <v>205.74586940524634</v>
      </c>
      <c r="E68" s="45">
        <f t="shared" si="23"/>
        <v>205.74586940524634</v>
      </c>
      <c r="F68" s="45">
        <f t="shared" si="23"/>
        <v>205.8505780096869</v>
      </c>
      <c r="G68" s="45">
        <f t="shared" si="23"/>
        <v>205.74586940524634</v>
      </c>
      <c r="H68" s="45">
        <f t="shared" si="23"/>
        <v>205.74586940524634</v>
      </c>
      <c r="I68" s="45">
        <f t="shared" si="23"/>
        <v>205.74586940524634</v>
      </c>
      <c r="J68" s="13"/>
    </row>
    <row r="69" spans="1:10" ht="12.75" hidden="1">
      <c r="A69" s="10" t="s">
        <v>57</v>
      </c>
      <c r="B69" s="9">
        <v>0.5</v>
      </c>
      <c r="C69" s="9">
        <v>0.5</v>
      </c>
      <c r="D69" s="9">
        <v>0.5</v>
      </c>
      <c r="E69" s="9">
        <v>0.5</v>
      </c>
      <c r="F69" s="9">
        <v>0.5</v>
      </c>
      <c r="G69" s="9">
        <v>0.5</v>
      </c>
      <c r="H69" s="9">
        <v>0.5</v>
      </c>
      <c r="I69" s="9">
        <v>0.5</v>
      </c>
      <c r="J69" s="13"/>
    </row>
    <row r="70" spans="1:10" ht="12.75">
      <c r="A70" s="8" t="s">
        <v>63</v>
      </c>
      <c r="B70" s="45">
        <f aca="true" t="shared" si="24" ref="B70:I70">+B67-B68-B69+B57</f>
        <v>-154.91333056082317</v>
      </c>
      <c r="C70" s="45">
        <f t="shared" si="24"/>
        <v>-143.40327087081832</v>
      </c>
      <c r="D70" s="45">
        <f t="shared" si="24"/>
        <v>-152.07761830224393</v>
      </c>
      <c r="E70" s="45">
        <f t="shared" si="24"/>
        <v>-146.64471274767888</v>
      </c>
      <c r="F70" s="45">
        <f t="shared" si="24"/>
        <v>-154.91333056082317</v>
      </c>
      <c r="G70" s="45">
        <f t="shared" si="24"/>
        <v>-149.40327087081832</v>
      </c>
      <c r="H70" s="45">
        <f t="shared" si="24"/>
        <v>-158.07761830224393</v>
      </c>
      <c r="I70" s="45">
        <f t="shared" si="24"/>
        <v>-152.64471274767888</v>
      </c>
      <c r="J70" s="26"/>
    </row>
    <row r="71" spans="1:10" ht="12.75" customHeight="1">
      <c r="A71" s="5" t="s">
        <v>64</v>
      </c>
      <c r="J71" s="13"/>
    </row>
    <row r="72" spans="1:10" ht="12.75" customHeight="1" hidden="1">
      <c r="A72" s="8" t="s">
        <v>65</v>
      </c>
      <c r="B72" s="9">
        <f aca="true" t="shared" si="25" ref="B72:I72">(28+(B22-B21))+B77+B76</f>
        <v>-142.71548792976543</v>
      </c>
      <c r="C72" s="9">
        <f t="shared" si="25"/>
        <v>-140.3896075918581</v>
      </c>
      <c r="D72" s="9">
        <f t="shared" si="25"/>
        <v>-149.0639550232837</v>
      </c>
      <c r="E72" s="9">
        <f t="shared" si="25"/>
        <v>-143.63104946871863</v>
      </c>
      <c r="F72" s="9">
        <f t="shared" si="25"/>
        <v>-142.71548792976543</v>
      </c>
      <c r="G72" s="9">
        <f t="shared" si="25"/>
        <v>-146.38960759185807</v>
      </c>
      <c r="H72" s="9">
        <f t="shared" si="25"/>
        <v>-155.0639550232837</v>
      </c>
      <c r="I72" s="9">
        <f t="shared" si="25"/>
        <v>-149.63104946871863</v>
      </c>
      <c r="J72" s="13"/>
    </row>
    <row r="73" spans="1:10" ht="12.75" customHeight="1" hidden="1">
      <c r="A73" s="8" t="s">
        <v>66</v>
      </c>
      <c r="B73" s="9">
        <f aca="true" t="shared" si="26" ref="B73:I73">(27+(B22-B21))+B77+B76</f>
        <v>-143.71548792976543</v>
      </c>
      <c r="C73" s="9">
        <f t="shared" si="26"/>
        <v>-141.3896075918581</v>
      </c>
      <c r="D73" s="9">
        <f t="shared" si="26"/>
        <v>-150.0639550232837</v>
      </c>
      <c r="E73" s="9">
        <f t="shared" si="26"/>
        <v>-144.63104946871863</v>
      </c>
      <c r="F73" s="9">
        <f t="shared" si="26"/>
        <v>-143.71548792976543</v>
      </c>
      <c r="G73" s="9">
        <f t="shared" si="26"/>
        <v>-147.38960759185807</v>
      </c>
      <c r="H73" s="9">
        <f t="shared" si="26"/>
        <v>-156.0639550232837</v>
      </c>
      <c r="I73" s="9">
        <f t="shared" si="26"/>
        <v>-150.63104946871863</v>
      </c>
      <c r="J73" s="13"/>
    </row>
    <row r="74" spans="1:10" ht="12.75" hidden="1">
      <c r="A74" s="8" t="s">
        <v>67</v>
      </c>
      <c r="B74" s="9">
        <f aca="true" t="shared" si="27" ref="B74:I74">(23+IF(B47&gt;=3.7,IF(B47&gt;=4.5,6,3),IF(B47&lt;=3,IF(B47&lt;=2,-5,-2.5),0))+(B22-B21))+B77+B76</f>
        <v>-150.21548792976543</v>
      </c>
      <c r="C74" s="9">
        <f t="shared" si="27"/>
        <v>-139.3896075918581</v>
      </c>
      <c r="D74" s="9">
        <f t="shared" si="27"/>
        <v>-148.0639550232837</v>
      </c>
      <c r="E74" s="9">
        <f t="shared" si="27"/>
        <v>-142.63104946871866</v>
      </c>
      <c r="F74" s="9">
        <f t="shared" si="27"/>
        <v>-150.21548792976543</v>
      </c>
      <c r="G74" s="9">
        <f t="shared" si="27"/>
        <v>-145.38960759185807</v>
      </c>
      <c r="H74" s="9">
        <f t="shared" si="27"/>
        <v>-154.0639550232837</v>
      </c>
      <c r="I74" s="9">
        <f t="shared" si="27"/>
        <v>-148.63104946871863</v>
      </c>
      <c r="J74" s="13"/>
    </row>
    <row r="75" spans="1:10" ht="12.75">
      <c r="A75" s="8" t="s">
        <v>68</v>
      </c>
      <c r="B75" s="45">
        <f aca="true" t="shared" si="28" ref="B75:I75">-10*LOG10(10^(-B65/10)+10^(-B70/10))-1</f>
        <v>-158.77476443147913</v>
      </c>
      <c r="C75" s="45">
        <f t="shared" si="28"/>
        <v>-153.41134748135468</v>
      </c>
      <c r="D75" s="45">
        <f t="shared" si="28"/>
        <v>-162.0856949127803</v>
      </c>
      <c r="E75" s="45">
        <f t="shared" si="28"/>
        <v>-156.65278935821524</v>
      </c>
      <c r="F75" s="45">
        <f t="shared" si="28"/>
        <v>-156.82739748216727</v>
      </c>
      <c r="G75" s="45">
        <f t="shared" si="28"/>
        <v>-154.79310267006653</v>
      </c>
      <c r="H75" s="45">
        <f t="shared" si="28"/>
        <v>-163.46745010149215</v>
      </c>
      <c r="I75" s="45">
        <f t="shared" si="28"/>
        <v>-158.03454454692712</v>
      </c>
      <c r="J75" s="45"/>
    </row>
    <row r="76" spans="1:10" ht="12.75" hidden="1">
      <c r="A76" s="10" t="s">
        <v>69</v>
      </c>
      <c r="B76" s="50">
        <v>-228.6</v>
      </c>
      <c r="C76" s="50">
        <v>-228.6</v>
      </c>
      <c r="D76" s="50">
        <v>-228.6</v>
      </c>
      <c r="E76" s="50">
        <v>-228.6</v>
      </c>
      <c r="F76" s="50">
        <v>-228.6</v>
      </c>
      <c r="G76" s="50">
        <v>-228.6</v>
      </c>
      <c r="H76" s="50">
        <v>-228.6</v>
      </c>
      <c r="I76" s="50">
        <v>-228.6</v>
      </c>
      <c r="J76" s="13"/>
    </row>
    <row r="77" spans="1:10" ht="12.75" hidden="1">
      <c r="A77" s="10" t="s">
        <v>70</v>
      </c>
      <c r="B77" s="24">
        <f aca="true" t="shared" si="29" ref="B77:I77">10*LOG10(B14*1000)</f>
        <v>57.88451207023456</v>
      </c>
      <c r="C77" s="24">
        <f t="shared" si="29"/>
        <v>53.624824747511745</v>
      </c>
      <c r="D77" s="24">
        <f t="shared" si="29"/>
        <v>53.624824747511745</v>
      </c>
      <c r="E77" s="24">
        <f t="shared" si="29"/>
        <v>53.624824747511745</v>
      </c>
      <c r="F77" s="24">
        <f t="shared" si="29"/>
        <v>57.88451207023456</v>
      </c>
      <c r="G77" s="24">
        <f t="shared" si="29"/>
        <v>53.624824747511745</v>
      </c>
      <c r="H77" s="24">
        <f t="shared" si="29"/>
        <v>53.624824747511745</v>
      </c>
      <c r="I77" s="24">
        <f t="shared" si="29"/>
        <v>53.624824747511745</v>
      </c>
      <c r="J77" s="13"/>
    </row>
    <row r="78" spans="1:10" ht="12.75">
      <c r="A78" s="8" t="s">
        <v>71</v>
      </c>
      <c r="B78" s="45">
        <f aca="true" t="shared" si="30" ref="B78:I78">+B75-B$76-B$77</f>
        <v>11.94072349828631</v>
      </c>
      <c r="C78" s="45">
        <f t="shared" si="30"/>
        <v>21.563827771133568</v>
      </c>
      <c r="D78" s="45">
        <f t="shared" si="30"/>
        <v>12.889480339707951</v>
      </c>
      <c r="E78" s="45">
        <f t="shared" si="30"/>
        <v>18.322385894273005</v>
      </c>
      <c r="F78" s="45">
        <f t="shared" si="30"/>
        <v>13.888090447598167</v>
      </c>
      <c r="G78" s="45">
        <f t="shared" si="30"/>
        <v>20.182072582421718</v>
      </c>
      <c r="H78" s="45">
        <f t="shared" si="30"/>
        <v>11.507725150996102</v>
      </c>
      <c r="I78" s="45">
        <f t="shared" si="30"/>
        <v>16.940630705561126</v>
      </c>
      <c r="J78" s="13"/>
    </row>
    <row r="79" spans="1:10" ht="12.75">
      <c r="A79" s="8" t="s">
        <v>72</v>
      </c>
      <c r="B79" s="45">
        <f aca="true" t="shared" si="31" ref="B79:I79">B78-B$18</f>
        <v>9.74283591540237</v>
      </c>
      <c r="C79" s="45">
        <f t="shared" si="31"/>
        <v>18.11655282216663</v>
      </c>
      <c r="D79" s="45">
        <f t="shared" si="31"/>
        <v>9.442205390741012</v>
      </c>
      <c r="E79" s="45">
        <f t="shared" si="31"/>
        <v>14.875110945306066</v>
      </c>
      <c r="F79" s="45">
        <f t="shared" si="31"/>
        <v>11.690202864714227</v>
      </c>
      <c r="G79" s="45">
        <f t="shared" si="31"/>
        <v>16.73479763345478</v>
      </c>
      <c r="H79" s="45">
        <f t="shared" si="31"/>
        <v>8.060450202029163</v>
      </c>
      <c r="I79" s="45">
        <f t="shared" si="31"/>
        <v>13.493355756594188</v>
      </c>
      <c r="J79" s="13"/>
    </row>
    <row r="80" ht="12.75">
      <c r="J80" s="13"/>
    </row>
    <row r="81" spans="1:7" ht="12.75">
      <c r="A81" s="5" t="s">
        <v>73</v>
      </c>
      <c r="B81" s="51"/>
      <c r="C81" s="52"/>
      <c r="F81" s="51"/>
      <c r="G81" s="52"/>
    </row>
    <row r="82" spans="1:9" ht="12.75">
      <c r="A82" s="8" t="s">
        <v>74</v>
      </c>
      <c r="B82" s="45">
        <f>-10*LOG10(10^(-B65/10)+10^(-B70/10))-1</f>
        <v>-158.77476443147913</v>
      </c>
      <c r="C82" s="45">
        <f>-10*LOG10(10^(-(C65-8-2)/10)+10^(-C70/10))-1</f>
        <v>-162.89012942498204</v>
      </c>
      <c r="D82" s="53">
        <f>-10*LOG10(10^(-(D65-8-2)/10)+10^(-D70/10))-1</f>
        <v>-171.56447685640762</v>
      </c>
      <c r="E82" s="45">
        <f>-10*LOG10(10^(-(E65-8-2)/10)+10^(-E70/10))--1</f>
        <v>-164.13157130184257</v>
      </c>
      <c r="F82" s="47">
        <f>-10*LOG10(10^(-(F65-2-1)/10)+10^(-F70/10))-1</f>
        <v>-157.57884637840124</v>
      </c>
      <c r="G82" s="45">
        <f>-10*LOG10(10^(-(G65-8-2)/10)+10^(-G70/10))-1</f>
        <v>-163.06979166027762</v>
      </c>
      <c r="H82" s="53">
        <f>-10*LOG10(10^(-(H65-8-2)/10)+10^(-H70/10))-1</f>
        <v>-171.74413909170318</v>
      </c>
      <c r="I82" s="45">
        <f>-10*LOG10(10^(-(I65-8-2)/10)+10^(-I70/10))-1</f>
        <v>-166.31123353713812</v>
      </c>
    </row>
    <row r="83" spans="1:9" ht="12.75">
      <c r="A83" s="8" t="s">
        <v>75</v>
      </c>
      <c r="B83" s="45">
        <f aca="true" t="shared" si="32" ref="B83:I83">+B82-B$76-B$77</f>
        <v>11.94072349828631</v>
      </c>
      <c r="C83" s="45">
        <f t="shared" si="32"/>
        <v>12.085045827506214</v>
      </c>
      <c r="D83" s="53">
        <f t="shared" si="32"/>
        <v>3.410698396080626</v>
      </c>
      <c r="E83" s="45">
        <f t="shared" si="32"/>
        <v>10.84360395064568</v>
      </c>
      <c r="F83" s="47">
        <f t="shared" si="32"/>
        <v>13.1366415513642</v>
      </c>
      <c r="G83" s="45">
        <f t="shared" si="32"/>
        <v>11.905383592210633</v>
      </c>
      <c r="H83" s="53">
        <f t="shared" si="32"/>
        <v>3.2310361607850737</v>
      </c>
      <c r="I83" s="45">
        <f t="shared" si="32"/>
        <v>8.663941715350127</v>
      </c>
    </row>
    <row r="84" spans="1:9" ht="12.75">
      <c r="A84" s="8" t="s">
        <v>76</v>
      </c>
      <c r="B84" s="45">
        <f aca="true" t="shared" si="33" ref="B84:I84">B83-B$18</f>
        <v>9.74283591540237</v>
      </c>
      <c r="C84" s="45">
        <f t="shared" si="33"/>
        <v>8.637770878539275</v>
      </c>
      <c r="D84" s="53">
        <f t="shared" si="33"/>
        <v>-0.03657655288631334</v>
      </c>
      <c r="E84" s="45">
        <f t="shared" si="33"/>
        <v>7.39632900167874</v>
      </c>
      <c r="F84" s="47">
        <f t="shared" si="33"/>
        <v>10.93875396848026</v>
      </c>
      <c r="G84" s="45">
        <f t="shared" si="33"/>
        <v>8.458108643243694</v>
      </c>
      <c r="H84" s="53">
        <f t="shared" si="33"/>
        <v>-0.2162387881818657</v>
      </c>
      <c r="I84" s="45">
        <f t="shared" si="33"/>
        <v>5.216666766383188</v>
      </c>
    </row>
    <row r="85" ht="12.75">
      <c r="A85" s="5" t="s">
        <v>77</v>
      </c>
    </row>
    <row r="86" spans="1:9" ht="12.75">
      <c r="A86" s="8" t="s">
        <v>74</v>
      </c>
      <c r="B86" s="53">
        <f>-10*LOG10(10^(-B65/10)+10^(-(B70-6-2)/10))-1</f>
        <v>-164.51202354486716</v>
      </c>
      <c r="C86" s="45">
        <f aca="true" t="shared" si="34" ref="C86:I86">-10*LOG10(10^(-C65/10)+10^(-(C70-6-2)/10))-1</f>
        <v>-155.6312082253265</v>
      </c>
      <c r="D86" s="45">
        <f t="shared" si="34"/>
        <v>-164.30555565675212</v>
      </c>
      <c r="E86" s="45">
        <f t="shared" si="34"/>
        <v>-158.87265010218707</v>
      </c>
      <c r="F86" s="53">
        <f t="shared" si="34"/>
        <v>-164.07165300205713</v>
      </c>
      <c r="G86" s="45">
        <f t="shared" si="34"/>
        <v>-159.4651991861502</v>
      </c>
      <c r="H86" s="45">
        <f t="shared" si="34"/>
        <v>-168.13954661757577</v>
      </c>
      <c r="I86" s="45">
        <f t="shared" si="34"/>
        <v>-162.70664106301072</v>
      </c>
    </row>
    <row r="87" spans="1:9" ht="12.75">
      <c r="A87" s="8" t="s">
        <v>75</v>
      </c>
      <c r="B87" s="53">
        <f aca="true" t="shared" si="35" ref="B87:I87">+B86-B$76-B$77</f>
        <v>6.203464384898275</v>
      </c>
      <c r="C87" s="45">
        <f t="shared" si="35"/>
        <v>19.343967027161746</v>
      </c>
      <c r="D87" s="45">
        <f t="shared" si="35"/>
        <v>10.66961959573613</v>
      </c>
      <c r="E87" s="45">
        <f t="shared" si="35"/>
        <v>16.102525150301183</v>
      </c>
      <c r="F87" s="53">
        <f t="shared" si="35"/>
        <v>6.643834927708305</v>
      </c>
      <c r="G87" s="45">
        <f t="shared" si="35"/>
        <v>15.509976066338062</v>
      </c>
      <c r="H87" s="45">
        <f t="shared" si="35"/>
        <v>6.835628634912474</v>
      </c>
      <c r="I87" s="45">
        <f t="shared" si="35"/>
        <v>12.268534189477528</v>
      </c>
    </row>
    <row r="88" spans="1:9" ht="12.75">
      <c r="A88" s="8" t="s">
        <v>76</v>
      </c>
      <c r="B88" s="53">
        <f aca="true" t="shared" si="36" ref="B88:I88">B87-B$18</f>
        <v>4.005576802014335</v>
      </c>
      <c r="C88" s="45">
        <f t="shared" si="36"/>
        <v>15.896692078194807</v>
      </c>
      <c r="D88" s="45">
        <f t="shared" si="36"/>
        <v>7.222344646769191</v>
      </c>
      <c r="E88" s="45">
        <f t="shared" si="36"/>
        <v>12.655250201334244</v>
      </c>
      <c r="F88" s="53">
        <f t="shared" si="36"/>
        <v>4.445947344824365</v>
      </c>
      <c r="G88" s="45">
        <f t="shared" si="36"/>
        <v>12.062701117371123</v>
      </c>
      <c r="H88" s="45">
        <f t="shared" si="36"/>
        <v>3.388353685945535</v>
      </c>
      <c r="I88" s="45">
        <f t="shared" si="36"/>
        <v>8.821259240510589</v>
      </c>
    </row>
    <row r="89" ht="12.75">
      <c r="A89" s="5" t="s">
        <v>78</v>
      </c>
    </row>
    <row r="90" spans="1:9" ht="12.75">
      <c r="A90" s="8" t="s">
        <v>74</v>
      </c>
      <c r="B90" s="53">
        <f>-10*LOG10(10^(-B65/10)+10^(-(B70-6-2)/10))-2</f>
        <v>-165.51202354486716</v>
      </c>
      <c r="C90" s="45">
        <f>-10*LOG10(10^(-(C65-8-2)/10)+10^(-(C70-6-2)/10))-2</f>
        <v>-164.20513106306407</v>
      </c>
      <c r="D90" s="53">
        <f>-10*LOG10(10^(-(D65-8-2)/10)+10^(-(D70-6-2)/10))-2</f>
        <v>-172.87947849448963</v>
      </c>
      <c r="E90" s="45">
        <f>-10*LOG10(10^(-(E65-8-2)/10)+10^(-(E70-6-2)/10))-2</f>
        <v>-167.44657293992458</v>
      </c>
      <c r="F90" s="47">
        <f>-10*LOG10(10^(-(F65-2-1)/10)+10^(-(F70-6-2)/10))-2</f>
        <v>-165.22369504061913</v>
      </c>
      <c r="G90" s="45">
        <f>-10*LOG10(10^(-(G65-8-2)/10)+10^(-(G70-6-2)/10))-2</f>
        <v>-165.16674989142697</v>
      </c>
      <c r="H90" s="53">
        <f>-10*LOG10(10^(-(H65-8-2)/10)+10^(-(H70-6-2)/10))-2</f>
        <v>-173.8410973228526</v>
      </c>
      <c r="I90" s="45">
        <f>-10*LOG10(10^(-(I65-8-2)/10)+10^(-(I70-6-2)/10))-2</f>
        <v>-168.40819176828754</v>
      </c>
    </row>
    <row r="91" spans="1:9" ht="12.75">
      <c r="A91" s="8" t="s">
        <v>75</v>
      </c>
      <c r="B91" s="53">
        <f aca="true" t="shared" si="37" ref="B91:I91">+B90-B$76-B$77</f>
        <v>5.203464384898275</v>
      </c>
      <c r="C91" s="45">
        <f t="shared" si="37"/>
        <v>10.770044189424176</v>
      </c>
      <c r="D91" s="53">
        <f t="shared" si="37"/>
        <v>2.095696757998617</v>
      </c>
      <c r="E91" s="45">
        <f t="shared" si="37"/>
        <v>7.52860231256367</v>
      </c>
      <c r="F91" s="54">
        <f t="shared" si="37"/>
        <v>5.4917928891463035</v>
      </c>
      <c r="G91" s="45">
        <f t="shared" si="37"/>
        <v>9.808425361061275</v>
      </c>
      <c r="H91" s="53">
        <f t="shared" si="37"/>
        <v>1.1340779296356587</v>
      </c>
      <c r="I91" s="45">
        <f t="shared" si="37"/>
        <v>6.566983484200712</v>
      </c>
    </row>
    <row r="92" spans="1:9" ht="12.75">
      <c r="A92" s="8" t="s">
        <v>76</v>
      </c>
      <c r="B92" s="53">
        <f aca="true" t="shared" si="38" ref="B92:I92">B91-B$18</f>
        <v>3.0055768020143354</v>
      </c>
      <c r="C92" s="45">
        <f t="shared" si="38"/>
        <v>7.322769240457237</v>
      </c>
      <c r="D92" s="53">
        <f t="shared" si="38"/>
        <v>-1.3515781909683224</v>
      </c>
      <c r="E92" s="45">
        <f t="shared" si="38"/>
        <v>4.081327363596731</v>
      </c>
      <c r="F92" s="54">
        <f t="shared" si="38"/>
        <v>3.2939053062623636</v>
      </c>
      <c r="G92" s="45">
        <f t="shared" si="38"/>
        <v>6.361150412094336</v>
      </c>
      <c r="H92" s="53">
        <f t="shared" si="38"/>
        <v>-2.3131970193312807</v>
      </c>
      <c r="I92" s="45">
        <f t="shared" si="38"/>
        <v>3.1197085352337726</v>
      </c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>
      <c r="A100" s="55"/>
    </row>
    <row r="101" ht="12.75" customHeight="1">
      <c r="A101" s="55"/>
    </row>
    <row r="102" ht="12.75" customHeight="1">
      <c r="A102" s="55"/>
    </row>
    <row r="103" ht="12.75" customHeight="1">
      <c r="A103" s="55"/>
    </row>
    <row r="104" ht="12.75" customHeight="1">
      <c r="A104" s="55"/>
    </row>
    <row r="105" ht="12.75" customHeight="1">
      <c r="A105" s="55"/>
    </row>
    <row r="106" ht="12.75" customHeight="1">
      <c r="A106" s="55"/>
    </row>
    <row r="107" ht="12.75" customHeight="1">
      <c r="A107" s="55"/>
    </row>
    <row r="108" ht="12.75" customHeight="1">
      <c r="A108" s="55"/>
    </row>
    <row r="109" ht="12.75" customHeight="1">
      <c r="A109" s="55"/>
    </row>
    <row r="110" ht="12.75" customHeight="1">
      <c r="A110" s="55"/>
    </row>
    <row r="111" ht="12.75" customHeight="1">
      <c r="A111" s="55"/>
    </row>
    <row r="112" ht="12.75" customHeight="1">
      <c r="A112" s="55"/>
    </row>
    <row r="113" ht="12.75" customHeight="1">
      <c r="A113" s="55"/>
    </row>
    <row r="114" ht="12.75" customHeight="1">
      <c r="A114" s="55"/>
    </row>
    <row r="115" ht="12.75" customHeight="1">
      <c r="A115" s="55"/>
    </row>
    <row r="116" ht="12.75" customHeight="1">
      <c r="A116" s="55"/>
    </row>
    <row r="117" ht="12.75" customHeight="1">
      <c r="A117" s="55"/>
    </row>
    <row r="118" ht="12.75" customHeight="1">
      <c r="A118" s="55"/>
    </row>
    <row r="119" ht="12.75" customHeight="1">
      <c r="A119" s="55"/>
    </row>
    <row r="120" ht="12.75" customHeight="1">
      <c r="A120" s="55"/>
    </row>
    <row r="121" ht="12.75" customHeight="1">
      <c r="A121" s="55"/>
    </row>
    <row r="122" ht="12.75" customHeight="1">
      <c r="A122" s="55"/>
    </row>
    <row r="123" ht="12.75" customHeight="1">
      <c r="A123" s="55"/>
    </row>
    <row r="124" ht="12.75" customHeight="1">
      <c r="A124" s="55"/>
    </row>
    <row r="125" ht="12.75" customHeight="1">
      <c r="A125" s="55"/>
    </row>
    <row r="126" ht="12.75" customHeight="1">
      <c r="A126" s="55"/>
    </row>
    <row r="127" ht="12.75" customHeight="1">
      <c r="A127" s="55"/>
    </row>
    <row r="128" ht="12.75" customHeight="1">
      <c r="A128" s="55"/>
    </row>
    <row r="129" ht="12.75" customHeight="1">
      <c r="A129" s="55"/>
    </row>
    <row r="130" ht="12.75" customHeight="1">
      <c r="A130" s="55"/>
    </row>
    <row r="131" ht="12.75" customHeight="1">
      <c r="A131" s="55"/>
    </row>
    <row r="132" ht="12.75" customHeight="1">
      <c r="A132" s="55"/>
    </row>
    <row r="133" ht="12.75" customHeight="1">
      <c r="A133" s="55"/>
    </row>
    <row r="134" ht="12.75" customHeight="1">
      <c r="A134" s="55"/>
    </row>
    <row r="135" ht="12.75" customHeight="1">
      <c r="A135" s="55"/>
    </row>
    <row r="136" ht="12.75" customHeight="1">
      <c r="A136" s="55"/>
    </row>
    <row r="137" ht="12.75" customHeight="1">
      <c r="A137" s="55"/>
    </row>
    <row r="138" ht="12.75" customHeight="1">
      <c r="A138" s="55"/>
    </row>
    <row r="139" ht="12.75" customHeight="1">
      <c r="A139" s="55"/>
    </row>
    <row r="140" ht="12.75" customHeight="1">
      <c r="A140" s="55"/>
    </row>
    <row r="141" ht="12.75" customHeight="1">
      <c r="A141" s="55"/>
    </row>
    <row r="142" ht="12.75" customHeight="1">
      <c r="A142" s="55"/>
    </row>
    <row r="143" ht="12.75" customHeight="1">
      <c r="A143" s="55"/>
    </row>
    <row r="144" ht="12.75" customHeight="1">
      <c r="A144" s="55"/>
    </row>
    <row r="145" ht="12.75" customHeight="1">
      <c r="A145" s="55"/>
    </row>
    <row r="146" ht="12.75" customHeight="1">
      <c r="A146" s="55"/>
    </row>
    <row r="147" ht="12.75" customHeight="1">
      <c r="A147" s="55"/>
    </row>
    <row r="148" ht="12.75" customHeight="1">
      <c r="A148" s="55"/>
    </row>
    <row r="149" ht="12.75" customHeight="1">
      <c r="A149" s="55"/>
    </row>
    <row r="150" ht="12.75" customHeight="1">
      <c r="A150" s="55"/>
    </row>
    <row r="151" ht="12.75" customHeight="1">
      <c r="A151" s="55"/>
    </row>
    <row r="152" ht="12.75" customHeight="1">
      <c r="A152" s="55"/>
    </row>
    <row r="153" ht="12.75" customHeight="1">
      <c r="A153" s="55"/>
    </row>
    <row r="154" ht="12.75" customHeight="1">
      <c r="A154" s="55"/>
    </row>
    <row r="155" ht="12.75" customHeight="1">
      <c r="A155" s="55"/>
    </row>
    <row r="156" ht="12.75" customHeight="1">
      <c r="A156" s="55"/>
    </row>
    <row r="157" ht="12.75" customHeight="1">
      <c r="A157" s="55"/>
    </row>
    <row r="158" ht="12.75" customHeight="1">
      <c r="A158" s="55"/>
    </row>
    <row r="159" ht="12.75" customHeight="1">
      <c r="A159" s="55"/>
    </row>
    <row r="160" ht="12.75" customHeight="1">
      <c r="A160" s="55"/>
    </row>
    <row r="161" ht="12.75" customHeight="1">
      <c r="A161" s="55"/>
    </row>
    <row r="162" ht="12.75" customHeight="1">
      <c r="A162" s="55"/>
    </row>
    <row r="163" ht="12.75" customHeight="1">
      <c r="A163" s="55"/>
    </row>
    <row r="164" ht="12.75" customHeight="1">
      <c r="A164" s="55"/>
    </row>
    <row r="165" ht="12.75" customHeight="1">
      <c r="A165" s="55"/>
    </row>
    <row r="166" ht="12.75" customHeight="1">
      <c r="A166" s="55"/>
    </row>
    <row r="167" ht="12.75" customHeight="1">
      <c r="A167" s="55"/>
    </row>
    <row r="168" ht="12.75" customHeight="1">
      <c r="A168" s="55"/>
    </row>
    <row r="169" ht="12.75" customHeight="1">
      <c r="A169" s="55"/>
    </row>
    <row r="170" ht="12.75" customHeight="1">
      <c r="A170" s="55"/>
    </row>
    <row r="171" ht="12.75" customHeight="1">
      <c r="A171" s="55"/>
    </row>
    <row r="172" ht="12.75" customHeight="1">
      <c r="A172" s="55"/>
    </row>
    <row r="173" ht="12.75" customHeight="1">
      <c r="A173" s="55"/>
    </row>
    <row r="174" ht="12.75" customHeight="1">
      <c r="A174" s="55"/>
    </row>
    <row r="175" ht="12.75" customHeight="1">
      <c r="A175" s="55"/>
    </row>
    <row r="176" ht="12.75" customHeight="1">
      <c r="A176" s="55"/>
    </row>
    <row r="177" ht="12.75" customHeight="1">
      <c r="A177" s="55"/>
    </row>
    <row r="178" ht="12.75" customHeight="1">
      <c r="A178" s="55"/>
    </row>
    <row r="179" ht="12.75" customHeight="1">
      <c r="A179" s="55"/>
    </row>
    <row r="180" ht="12.75" customHeight="1">
      <c r="A180" s="55"/>
    </row>
    <row r="181" ht="12.75" customHeight="1">
      <c r="A181" s="55"/>
    </row>
    <row r="182" ht="12.75" customHeight="1">
      <c r="A182" s="55"/>
    </row>
    <row r="183" ht="12.75" customHeight="1">
      <c r="A183" s="55"/>
    </row>
    <row r="184" ht="12.75" customHeight="1">
      <c r="A184" s="55"/>
    </row>
    <row r="185" ht="12.75" customHeight="1">
      <c r="A185" s="55"/>
    </row>
    <row r="186" ht="12.75" customHeight="1">
      <c r="A186" s="55"/>
    </row>
    <row r="187" ht="12.75" customHeight="1">
      <c r="A187" s="55"/>
    </row>
    <row r="188" ht="12.75" customHeight="1">
      <c r="A188" s="55"/>
    </row>
    <row r="189" ht="12.75" customHeight="1">
      <c r="A189" s="55"/>
    </row>
    <row r="190" ht="12.75" customHeight="1">
      <c r="A190" s="55"/>
    </row>
    <row r="191" ht="12.75" customHeight="1">
      <c r="A191" s="55"/>
    </row>
    <row r="192" ht="12.75" customHeight="1">
      <c r="A192" s="55"/>
    </row>
    <row r="193" ht="12.75" customHeight="1">
      <c r="A193" s="55"/>
    </row>
    <row r="194" ht="12.75" customHeight="1">
      <c r="A194" s="55"/>
    </row>
    <row r="195" ht="12.75" customHeight="1">
      <c r="A195" s="55"/>
    </row>
    <row r="196" ht="12.75" customHeight="1">
      <c r="A196" s="55"/>
    </row>
    <row r="197" ht="12.75" customHeight="1">
      <c r="A197" s="55"/>
    </row>
    <row r="198" ht="12.75" customHeight="1">
      <c r="A198" s="55"/>
    </row>
    <row r="199" ht="12.75" customHeight="1">
      <c r="A199" s="55"/>
    </row>
    <row r="200" ht="12.75" customHeight="1">
      <c r="A200" s="55"/>
    </row>
    <row r="201" ht="12.75" customHeight="1">
      <c r="A201" s="55"/>
    </row>
    <row r="202" ht="12.75" customHeight="1">
      <c r="A202" s="55"/>
    </row>
    <row r="203" ht="12.75" customHeight="1">
      <c r="A203" s="55"/>
    </row>
    <row r="204" ht="12.75" customHeight="1">
      <c r="A204" s="55"/>
    </row>
    <row r="205" ht="12.75" customHeight="1">
      <c r="A205" s="55"/>
    </row>
    <row r="206" ht="12.75" customHeight="1">
      <c r="A206" s="55"/>
    </row>
    <row r="207" ht="12.75" customHeight="1">
      <c r="A207" s="55"/>
    </row>
    <row r="208" ht="12.75" customHeight="1">
      <c r="A208" s="55"/>
    </row>
    <row r="209" ht="12.75" customHeight="1">
      <c r="A209" s="55"/>
    </row>
    <row r="210" ht="12.75" customHeight="1">
      <c r="A210" s="55"/>
    </row>
    <row r="211" ht="12.75" customHeight="1">
      <c r="A211" s="55"/>
    </row>
    <row r="212" ht="12.75" customHeight="1">
      <c r="A212" s="55"/>
    </row>
    <row r="213" ht="12.75" customHeight="1">
      <c r="A213" s="55"/>
    </row>
    <row r="214" ht="12.75" customHeight="1">
      <c r="A214" s="55"/>
    </row>
    <row r="215" ht="12.75" customHeight="1">
      <c r="A215" s="55"/>
    </row>
    <row r="216" ht="12.75" customHeight="1">
      <c r="A216" s="55"/>
    </row>
    <row r="217" ht="12.75" customHeight="1">
      <c r="A217" s="55"/>
    </row>
    <row r="218" ht="12.75" customHeight="1">
      <c r="A218" s="55"/>
    </row>
    <row r="219" ht="12.75" customHeight="1">
      <c r="A219" s="55"/>
    </row>
    <row r="220" ht="12.75" customHeight="1">
      <c r="A220" s="55"/>
    </row>
    <row r="221" ht="12.75" customHeight="1">
      <c r="A221" s="55"/>
    </row>
    <row r="222" ht="12.75" customHeight="1">
      <c r="A222" s="55"/>
    </row>
    <row r="223" ht="12.75" customHeight="1">
      <c r="A223" s="55"/>
    </row>
    <row r="224" ht="12.75" customHeight="1">
      <c r="A224" s="55"/>
    </row>
    <row r="225" ht="12.75" customHeight="1">
      <c r="A225" s="55"/>
    </row>
    <row r="226" ht="12.75" customHeight="1">
      <c r="A226" s="55"/>
    </row>
    <row r="227" ht="12.75" customHeight="1">
      <c r="A227" s="55"/>
    </row>
    <row r="228" ht="12.75" customHeight="1">
      <c r="A228" s="55"/>
    </row>
    <row r="229" ht="12.75" customHeight="1">
      <c r="A229" s="55"/>
    </row>
    <row r="230" ht="12.75" customHeight="1">
      <c r="A230" s="55"/>
    </row>
    <row r="231" ht="12.75" customHeight="1">
      <c r="A231" s="55"/>
    </row>
    <row r="232" ht="12.75" customHeight="1">
      <c r="A232" s="55"/>
    </row>
    <row r="233" ht="12.75" customHeight="1">
      <c r="A233" s="55"/>
    </row>
    <row r="234" ht="12.75" customHeight="1">
      <c r="A234" s="55"/>
    </row>
    <row r="235" ht="12.75" customHeight="1">
      <c r="A235" s="55"/>
    </row>
    <row r="236" ht="12.75" customHeight="1">
      <c r="A236" s="55"/>
    </row>
    <row r="237" ht="12.75" customHeight="1">
      <c r="A237" s="55"/>
    </row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</sheetData>
  <printOptions gridLines="1"/>
  <pageMargins left="0.3937007874015748" right="0" top="0.7874015748031497" bottom="0" header="0.3937007874015748" footer="0"/>
  <pageSetup fitToHeight="1" fitToWidth="1" horizontalDpi="300" verticalDpi="300" orientation="portrait" pageOrder="overThenDown" paperSize="9" scale="9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qhw</dc:creator>
  <cp:keywords/>
  <dc:description/>
  <cp:lastModifiedBy>qhw</cp:lastModifiedBy>
  <dcterms:created xsi:type="dcterms:W3CDTF">2000-12-22T08:22:48Z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